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https://trsac6-my.sharepoint.com/personal/sjackson_trsa_org/Documents/Documents/Benchmark Folder/Benchmark Studies/2022/Healthcare/"/>
    </mc:Choice>
  </mc:AlternateContent>
  <xr:revisionPtr revIDLastSave="0" documentId="8_{EB8719C0-47D8-42ED-9C00-283ECFEB44F1}" xr6:coauthVersionLast="47" xr6:coauthVersionMax="47" xr10:uidLastSave="{00000000-0000-0000-0000-000000000000}"/>
  <workbookProtection workbookPassword="CF42" lockStructure="1"/>
  <bookViews>
    <workbookView xWindow="1116" yWindow="1116" windowWidth="17280" windowHeight="8964" xr2:uid="{00000000-000D-0000-FFFF-FFFF00000000}"/>
  </bookViews>
  <sheets>
    <sheet name="Healthcare Survey" sheetId="1" r:id="rId1"/>
    <sheet name="Data" sheetId="2" state="hidden" r:id="rId2"/>
  </sheets>
  <definedNames>
    <definedName name="ADDR1">'Healthcare Survey'!$E$21</definedName>
    <definedName name="ADMIN_AVG">'Healthcare Survey'!$L$105</definedName>
    <definedName name="ADMIN_HI">'Healthcare Survey'!$J$105</definedName>
    <definedName name="ADMIN_LO">'Healthcare Survey'!$H$105</definedName>
    <definedName name="AGREEABLE">'Healthcare Survey'!$B$223</definedName>
    <definedName name="ANTIMICRO">'Healthcare Survey'!$B$260</definedName>
    <definedName name="ATP">'Healthcare Survey'!$B$255</definedName>
    <definedName name="BENE">'Healthcare Survey'!$H$193</definedName>
    <definedName name="BETTER">'Healthcare Survey'!$B$227</definedName>
    <definedName name="BTU_ELEC">'Healthcare Survey'!$L$78</definedName>
    <definedName name="BTU_GAS">'Healthcare Survey'!$L$71</definedName>
    <definedName name="BULK">'Healthcare Survey'!$H$56</definedName>
    <definedName name="CAPEX">'Healthcare Survey'!$H$199</definedName>
    <definedName name="CERT">'Healthcare Survey'!$H$50</definedName>
    <definedName name="City">'Healthcare Survey'!$E$22</definedName>
    <definedName name="Company">'Healthcare Survey'!$E$19</definedName>
    <definedName name="DEL">'Healthcare Survey'!$H$215</definedName>
    <definedName name="DISTANCE">'Healthcare Survey'!$H$63</definedName>
    <definedName name="DIVERSIFY">'Healthcare Survey'!$B$124</definedName>
    <definedName name="ELEC">'Healthcare Survey'!$L$78</definedName>
    <definedName name="EMAIL">'Healthcare Survey'!$E$20</definedName>
    <definedName name="EMP">'Healthcare Survey'!$H$48</definedName>
    <definedName name="ENGR_AVG">'Healthcare Survey'!$L$103</definedName>
    <definedName name="ENGR_HI">'Healthcare Survey'!$J$103</definedName>
    <definedName name="ENGR_LO">'Healthcare Survey'!$H$103</definedName>
    <definedName name="ENHANCE">'Healthcare Survey'!$B$229</definedName>
    <definedName name="GAL">'Healthcare Survey'!$L$67</definedName>
    <definedName name="ID">'Healthcare Survey'!$J$16</definedName>
    <definedName name="INFECTION">'Healthcare Survey'!$B$249</definedName>
    <definedName name="INTEGRITY">'Healthcare Survey'!$B$256</definedName>
    <definedName name="INVEST">'Healthcare Survey'!$B$257</definedName>
    <definedName name="LAB_ADMIN">'Healthcare Survey'!$H$190</definedName>
    <definedName name="LAB_DRY">'Healthcare Survey'!$H$183</definedName>
    <definedName name="LAB_ENGR">'Healthcare Survey'!$H$188</definedName>
    <definedName name="LAB_FLAT">'Healthcare Survey'!$H$182</definedName>
    <definedName name="LAB_JAN">'Healthcare Survey'!$H$189</definedName>
    <definedName name="LAB_PACK">'Healthcare Survey'!$H$184</definedName>
    <definedName name="LAB_ROUTE">'Healthcare Survey'!$H$187</definedName>
    <definedName name="LAB_SLS">'Healthcare Survey'!$H$191</definedName>
    <definedName name="LAB_SORT">'Healthcare Survey'!$H$180</definedName>
    <definedName name="LAB_SUPR">'Healthcare Survey'!$H$186</definedName>
    <definedName name="LAB_SUR">'Healthcare Survey'!$H$185</definedName>
    <definedName name="LAB_WASH">'Healthcare Survey'!$H$181</definedName>
    <definedName name="LBS">Data!#REF!</definedName>
    <definedName name="LBS_RANGE">'Healthcare Survey'!$H$46</definedName>
    <definedName name="LINEN_CHG">'Healthcare Survey'!$J$197</definedName>
    <definedName name="LINEN_LBS">'Healthcare Survey'!$L$126</definedName>
    <definedName name="LINEN_REP">'Healthcare Survey'!$H$195</definedName>
    <definedName name="MPG">'Healthcare Survey'!$H$213</definedName>
    <definedName name="NAME">'Healthcare Survey'!$E$17</definedName>
    <definedName name="NATL_GAS">'Healthcare Survey'!$L$71</definedName>
    <definedName name="NEW_OP">'Healthcare Survey'!#REF!</definedName>
    <definedName name="NS">'Healthcare Survey'!$H$166</definedName>
    <definedName name="OP_ATTEND">'Healthcare Survey'!$B$154</definedName>
    <definedName name="OP_AUTO">'Healthcare Survey'!$B$162</definedName>
    <definedName name="OP_BAG">'Healthcare Survey'!$B$157</definedName>
    <definedName name="OP_EQUIP">'Healthcare Survey'!$B$161</definedName>
    <definedName name="OP_PRODN">'Healthcare Survey'!$B$152</definedName>
    <definedName name="OP_RFIDsort">'Healthcare Survey'!$B$158</definedName>
    <definedName name="OP_SAFETY">'Healthcare Survey'!$B$155</definedName>
    <definedName name="OP_SORT">'Healthcare Survey'!$B$156</definedName>
    <definedName name="OP_STD">'Healthcare Survey'!$B$153</definedName>
    <definedName name="OP_TRACK">'Healthcare Survey'!$B$159</definedName>
    <definedName name="OP_VEH">'Healthcare Survey'!$B$160</definedName>
    <definedName name="OPTIMISTIC">'Healthcare Survey'!$B$261</definedName>
    <definedName name="ORG">'Healthcare Survey'!$H$34</definedName>
    <definedName name="PER_MILE">'Healthcare Survey'!$H$214</definedName>
    <definedName name="PLAN">'Healthcare Survey'!$B$122</definedName>
    <definedName name="POST_TREND">'Healthcare Survey'!#REF!</definedName>
    <definedName name="PPE">'Healthcare Survey'!$B$120</definedName>
    <definedName name="PPE_Demand">'Healthcare Survey'!$B$251</definedName>
    <definedName name="PPOH_DIRECT">'Healthcare Survey'!$L$88</definedName>
    <definedName name="PPOH_TOTAL">'Healthcare Survey'!$L$85</definedName>
    <definedName name="PREV">'Healthcare Survey'!$J$204</definedName>
    <definedName name="_xlnm.Print_Area" localSheetId="0">'Healthcare Survey'!$A$2:$O$261</definedName>
    <definedName name="PRODN_AVG">'Healthcare Survey'!$L$101</definedName>
    <definedName name="PRODN_HI">'Healthcare Survey'!$J$101</definedName>
    <definedName name="PRODN_LO">'Healthcare Survey'!$H$101</definedName>
    <definedName name="PT">'Healthcare Survey'!$J$193</definedName>
    <definedName name="Q17_1">'Healthcare Survey'!$C$113</definedName>
    <definedName name="Q17_2">'Healthcare Survey'!$C$114</definedName>
    <definedName name="Q17_3">'Healthcare Survey'!$C$115</definedName>
    <definedName name="RECYCLE">'Healthcare Survey'!$L$81</definedName>
    <definedName name="REGION">'Healthcare Survey'!$H$36</definedName>
    <definedName name="REV_CHGS">'Healthcare Survey'!$H$170</definedName>
    <definedName name="REV_DIRECT">'Healthcare Survey'!$H$171</definedName>
    <definedName name="REV_LABOR">'Healthcare Survey'!$H$172</definedName>
    <definedName name="REV_LAUNDRY">'Healthcare Survey'!$H$169</definedName>
    <definedName name="REV_OTH">'Healthcare Survey'!$H$174</definedName>
    <definedName name="REV_PACKS">'Healthcare Survey'!$H$173</definedName>
    <definedName name="RFID">'Healthcare Survey'!$B$231</definedName>
    <definedName name="RM">'Healthcare Survey'!$J$201</definedName>
    <definedName name="ROUTE_AVG">'Healthcare Survey'!$L$104</definedName>
    <definedName name="ROUTE_HI">'Healthcare Survey'!$J$104</definedName>
    <definedName name="ROUTE_LO">'Healthcare Survey'!$H$104</definedName>
    <definedName name="Safe_Audit">'Healthcare Survey'!$B$235</definedName>
    <definedName name="Safe_Award">'Healthcare Survey'!$B$239</definedName>
    <definedName name="Safe_Bonus">'Healthcare Survey'!$B$241</definedName>
    <definedName name="Safe_Drill">'Healthcare Survey'!$B$236</definedName>
    <definedName name="Safe_Equip">'Healthcare Survey'!$B$244</definedName>
    <definedName name="Safe_Expert">'Healthcare Survey'!$B$243</definedName>
    <definedName name="Safe_Game">'Healthcare Survey'!$B$240</definedName>
    <definedName name="Safe_Mtg">'Healthcare Survey'!$B$237</definedName>
    <definedName name="Safe_Train">'Healthcare Survey'!$B$238</definedName>
    <definedName name="Safe_Visit">'Healthcare Survey'!$B$242</definedName>
    <definedName name="SER_BULK">'Healthcare Survey'!$B$138</definedName>
    <definedName name="SER_DISP">'Healthcare Survey'!$B$145</definedName>
    <definedName name="SER_EXC">'Healthcare Survey'!$B$137</definedName>
    <definedName name="SER_HAZ">'Healthcare Survey'!$B$147</definedName>
    <definedName name="SER_HOME">'Healthcare Survey'!$B$146</definedName>
    <definedName name="SER_LT">'Healthcare Survey'!$B$143</definedName>
    <definedName name="SER_OFF">'Healthcare Survey'!$B$136</definedName>
    <definedName name="SER_RECYCLE">'Healthcare Survey'!$B$139</definedName>
    <definedName name="SER_RETAIL">'Healthcare Survey'!$B$144</definedName>
    <definedName name="SER_RFID">'Healthcare Survey'!$B$141</definedName>
    <definedName name="SER_SHRED">'Healthcare Survey'!$B$140</definedName>
    <definedName name="SER_UNI">'Healthcare Survey'!$B$142</definedName>
    <definedName name="SLS">'Healthcare Survey'!$J$206</definedName>
    <definedName name="SOIL_CLEAN">'Healthcare Survey'!$H$209</definedName>
    <definedName name="STAFFING">'Healthcare Survey'!$B$225</definedName>
    <definedName name="State">'Healthcare Survey'!$E$23</definedName>
    <definedName name="SUPR_AVG">'Healthcare Survey'!$L$102</definedName>
    <definedName name="SUPR_HI">'Healthcare Survey'!$J$102</definedName>
    <definedName name="SUPR_LO">'Healthcare Survey'!$H$102</definedName>
    <definedName name="SURCHARGE">'Healthcare Survey'!$J$177</definedName>
    <definedName name="TEMP_ADMIN">'Healthcare Survey'!$J$190</definedName>
    <definedName name="TEMP_DRY">'Healthcare Survey'!$J$183</definedName>
    <definedName name="TEMP_ENGR">'Healthcare Survey'!$J$188</definedName>
    <definedName name="TEMP_FLAT">'Healthcare Survey'!$J$182</definedName>
    <definedName name="TEMP_JAN">'Healthcare Survey'!$J$189</definedName>
    <definedName name="TEMP_PACK">'Healthcare Survey'!$J$184</definedName>
    <definedName name="TEMP_ROUTE">'Healthcare Survey'!$J$187</definedName>
    <definedName name="TEMP_SLS">'Healthcare Survey'!$J$191</definedName>
    <definedName name="TEMP_SORT">'Healthcare Survey'!$J$180</definedName>
    <definedName name="TEMP_SUPR">'Healthcare Survey'!$J$186</definedName>
    <definedName name="TEMP_SUR">'Healthcare Survey'!$J$185</definedName>
    <definedName name="TEMP_WASH">'Healthcare Survey'!$J$181</definedName>
    <definedName name="Title">'Healthcare Survey'!$E$18</definedName>
    <definedName name="TOT_ADMIN">'Healthcare Survey'!$L$190</definedName>
    <definedName name="TOT_DRY">'Healthcare Survey'!$L$183</definedName>
    <definedName name="TOT_ENGR">'Healthcare Survey'!$L$188</definedName>
    <definedName name="TOT_FLAT">'Healthcare Survey'!$L$182</definedName>
    <definedName name="TOT_JAN">'Healthcare Survey'!$L$189</definedName>
    <definedName name="TOT_PACK">'Healthcare Survey'!$L$184</definedName>
    <definedName name="TOT_ROUTE">'Healthcare Survey'!$L$187</definedName>
    <definedName name="TOT_SLS">'Healthcare Survey'!$L$191</definedName>
    <definedName name="TOT_SORT">'Healthcare Survey'!$L$180</definedName>
    <definedName name="TOT_SUPR">'Healthcare Survey'!$L$186</definedName>
    <definedName name="TOT_SUR">'Healthcare Survey'!$L$185</definedName>
    <definedName name="TOT_WASH">'Healthcare Survey'!$L$181</definedName>
    <definedName name="TYPE">'Healthcare Survey'!$H$32</definedName>
    <definedName name="WAGE_2019">'Healthcare Survey'!$J$107</definedName>
    <definedName name="WAGE_2020">'Healthcare Survey'!$J$108</definedName>
    <definedName name="WAGE_2021">'Healthcare Survey'!$J$109</definedName>
    <definedName name="WAGE_2022">'Healthcare Survey'!$J$110</definedName>
    <definedName name="ZipCode">'Healthcare Survey'!$E$24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2" l="1"/>
  <c r="B41" i="2"/>
  <c r="B40" i="2"/>
  <c r="B38" i="2" l="1"/>
  <c r="B37" i="2"/>
  <c r="B36" i="2"/>
  <c r="B35" i="2"/>
  <c r="B124" i="2" l="1"/>
  <c r="B48" i="2"/>
  <c r="B82" i="2"/>
  <c r="L191" i="1"/>
  <c r="L190" i="1"/>
  <c r="L189" i="1"/>
  <c r="L188" i="1"/>
  <c r="L187" i="1"/>
  <c r="L186" i="1"/>
  <c r="L185" i="1"/>
  <c r="L184" i="1"/>
  <c r="L183" i="1"/>
  <c r="L182" i="1"/>
  <c r="L181" i="1"/>
  <c r="L180" i="1"/>
  <c r="B119" i="2"/>
  <c r="B118" i="2"/>
  <c r="B117" i="2"/>
  <c r="B116" i="2"/>
  <c r="B115" i="2"/>
  <c r="B114" i="2"/>
  <c r="B113" i="2"/>
  <c r="B112" i="2"/>
  <c r="B111" i="2"/>
  <c r="B110" i="2"/>
  <c r="B109" i="2"/>
  <c r="B108" i="2"/>
  <c r="B107" i="2"/>
  <c r="B106" i="2"/>
  <c r="B105" i="2"/>
  <c r="B104" i="2"/>
  <c r="B103" i="2"/>
  <c r="B102" i="2"/>
  <c r="B101" i="2"/>
  <c r="B100" i="2"/>
  <c r="B99" i="2"/>
  <c r="B98" i="2"/>
  <c r="B97" i="2"/>
  <c r="B96" i="2"/>
  <c r="B145" i="2"/>
  <c r="B6" i="2"/>
  <c r="B132" i="2"/>
  <c r="B126" i="2"/>
  <c r="B123" i="2"/>
  <c r="B34" i="2"/>
  <c r="B33" i="2"/>
  <c r="B32" i="2"/>
  <c r="B31" i="2"/>
  <c r="B30" i="2"/>
  <c r="B29" i="2"/>
  <c r="B28" i="2"/>
  <c r="B27" i="2"/>
  <c r="B26" i="2"/>
  <c r="B23" i="2"/>
  <c r="B25" i="2"/>
  <c r="B24" i="2"/>
  <c r="B22" i="2"/>
  <c r="B21" i="2"/>
  <c r="B20" i="2"/>
  <c r="B129" i="2"/>
  <c r="H174" i="1"/>
  <c r="B80" i="2" s="1"/>
  <c r="B19" i="2"/>
  <c r="B18" i="2"/>
  <c r="B7" i="2"/>
  <c r="B2" i="2"/>
  <c r="B154" i="2"/>
  <c r="B139" i="2"/>
  <c r="B138" i="2"/>
  <c r="B156" i="2"/>
  <c r="B152" i="2"/>
  <c r="B151" i="2"/>
  <c r="B157" i="2"/>
  <c r="B155" i="2"/>
  <c r="B153" i="2"/>
  <c r="B147" i="2"/>
  <c r="B149" i="2"/>
  <c r="B148" i="2"/>
  <c r="B146" i="2"/>
  <c r="B144" i="2"/>
  <c r="B143" i="2"/>
  <c r="B142" i="2"/>
  <c r="B141" i="2"/>
  <c r="B140" i="2"/>
  <c r="B137" i="2"/>
  <c r="B136" i="2"/>
  <c r="B135" i="2"/>
  <c r="B71" i="2"/>
  <c r="B70" i="2"/>
  <c r="B69" i="2"/>
  <c r="B68" i="2"/>
  <c r="B67" i="2"/>
  <c r="B66" i="2"/>
  <c r="B65" i="2"/>
  <c r="B64" i="2"/>
  <c r="B63" i="2"/>
  <c r="B62" i="2"/>
  <c r="B61" i="2"/>
  <c r="B60" i="2"/>
  <c r="B59" i="2"/>
  <c r="B58" i="2"/>
  <c r="B57" i="2"/>
  <c r="B56" i="2"/>
  <c r="B55" i="2"/>
  <c r="B54" i="2"/>
  <c r="B53" i="2"/>
  <c r="B52" i="2"/>
  <c r="B51" i="2"/>
  <c r="B50" i="2"/>
  <c r="B49" i="2"/>
  <c r="B47" i="2"/>
  <c r="B46" i="2"/>
  <c r="B45" i="2"/>
  <c r="B17" i="2"/>
  <c r="B131" i="2"/>
  <c r="B133" i="2"/>
  <c r="B125" i="2"/>
  <c r="B128" i="2"/>
  <c r="B122" i="2"/>
  <c r="B121" i="2"/>
  <c r="B95" i="2"/>
  <c r="B94" i="2"/>
  <c r="B93" i="2"/>
  <c r="B92" i="2"/>
  <c r="B91" i="2"/>
  <c r="B90" i="2"/>
  <c r="B89" i="2"/>
  <c r="B88" i="2"/>
  <c r="B87" i="2"/>
  <c r="B86" i="2"/>
  <c r="B85" i="2"/>
  <c r="B84" i="2"/>
  <c r="B79" i="2"/>
  <c r="B78" i="2"/>
  <c r="B77" i="2"/>
  <c r="B76" i="2"/>
  <c r="B75" i="2"/>
  <c r="B73" i="2"/>
  <c r="B127" i="2"/>
  <c r="B15" i="2"/>
  <c r="B16" i="2"/>
  <c r="B14" i="2"/>
  <c r="B12" i="2"/>
  <c r="B11" i="2"/>
  <c r="B10" i="2"/>
  <c r="B9" i="2"/>
  <c r="B8" i="2"/>
  <c r="B5" i="2"/>
  <c r="B3" i="2"/>
  <c r="R2" i="2"/>
  <c r="Q2" i="2"/>
  <c r="P2" i="2"/>
  <c r="N2" i="2"/>
  <c r="M2" i="2"/>
  <c r="C2" i="2"/>
  <c r="L2" i="2"/>
</calcChain>
</file>

<file path=xl/sharedStrings.xml><?xml version="1.0" encoding="utf-8"?>
<sst xmlns="http://schemas.openxmlformats.org/spreadsheetml/2006/main" count="506" uniqueCount="454">
  <si>
    <t>Company</t>
  </si>
  <si>
    <t>1.</t>
  </si>
  <si>
    <t>2.</t>
  </si>
  <si>
    <t>3.</t>
  </si>
  <si>
    <t>4.</t>
  </si>
  <si>
    <t>Email Address</t>
  </si>
  <si>
    <t>Please provide your name and address below.</t>
  </si>
  <si>
    <t>5.</t>
  </si>
  <si>
    <t>6.</t>
  </si>
  <si>
    <t>7.</t>
  </si>
  <si>
    <t>8.</t>
  </si>
  <si>
    <t>10.</t>
  </si>
  <si>
    <t>Title</t>
  </si>
  <si>
    <t>Contact Name</t>
  </si>
  <si>
    <t>Facility Address</t>
  </si>
  <si>
    <t>Facility City</t>
  </si>
  <si>
    <t>Facility State</t>
  </si>
  <si>
    <t>Facility Zip Code</t>
  </si>
  <si>
    <t>DEMOGRAPHICS</t>
  </si>
  <si>
    <t>UTILITIES &amp; LABOR</t>
  </si>
  <si>
    <t>MARKET TRENDS</t>
  </si>
  <si>
    <t>FINANCIAL BENCHMARKS</t>
  </si>
  <si>
    <t>CUSTOMER &amp; EMPLOYEE ENGAGEMENT</t>
  </si>
  <si>
    <t>INFECTION CONTROL, INNOVATION, CERTIFICATION</t>
  </si>
  <si>
    <t>Type of Laundry</t>
  </si>
  <si>
    <t>Annual Pounds Processed</t>
  </si>
  <si>
    <t>Healthcare Laundry Certifications</t>
  </si>
  <si>
    <t>Our plant is primarily serving:</t>
  </si>
  <si>
    <t>What is your service distance from the plant?</t>
  </si>
  <si>
    <t>11.</t>
  </si>
  <si>
    <t>12.</t>
  </si>
  <si>
    <t>13.</t>
  </si>
  <si>
    <t>Do you use a water recycling system?</t>
  </si>
  <si>
    <t>0 = No  1 = Yes</t>
  </si>
  <si>
    <t>Soil Sort</t>
  </si>
  <si>
    <t>Wash Floor</t>
  </si>
  <si>
    <t>Dry Fold (Machine &amp; Hand)</t>
  </si>
  <si>
    <t>1 =  Hygienically Clean Health Care</t>
  </si>
  <si>
    <t>2 =  Healthcare Laundry Accreditation (HLAC)</t>
  </si>
  <si>
    <t>3 = Both</t>
  </si>
  <si>
    <t>4 = Neither</t>
  </si>
  <si>
    <t>— including temporary labor</t>
  </si>
  <si>
    <t>9.</t>
  </si>
  <si>
    <t>Office/Clerical</t>
  </si>
  <si>
    <t>Pack Out</t>
  </si>
  <si>
    <t>Surgical Packroom</t>
  </si>
  <si>
    <t>Janitorial</t>
  </si>
  <si>
    <t>Plant Employee Hourly Wages</t>
  </si>
  <si>
    <r>
      <t>Important</t>
    </r>
    <r>
      <rPr>
        <sz val="10"/>
        <rFont val="Arial"/>
        <family val="2"/>
      </rPr>
      <t>:  If only one person is performing the job classification,</t>
    </r>
  </si>
  <si>
    <t>Lowest actual 1st shift straight time hourly wage being paid.</t>
  </si>
  <si>
    <t>Highest actual 1st shift straight time hourly wage being paid.</t>
  </si>
  <si>
    <t>The total actual 1st shift straight time hourly wage of all employees in a classification</t>
  </si>
  <si>
    <t>divided by the total number of employees in this classification.</t>
  </si>
  <si>
    <t>please use their hourly rate as the lowest, highest and average wage rate.</t>
  </si>
  <si>
    <t>Wage Rate - $/hour</t>
  </si>
  <si>
    <t>Low</t>
  </si>
  <si>
    <t>High</t>
  </si>
  <si>
    <t>Average</t>
  </si>
  <si>
    <t>Production Workers</t>
  </si>
  <si>
    <t>Production Supervisor</t>
  </si>
  <si>
    <t>Maintenance / Mechanics</t>
  </si>
  <si>
    <t>Drivers / Route Rep</t>
  </si>
  <si>
    <t>Administrative/Clerical/Office Employees</t>
  </si>
  <si>
    <t>Total Revenue</t>
  </si>
  <si>
    <t>27.</t>
  </si>
  <si>
    <t>28.</t>
  </si>
  <si>
    <t>Revenue by service category</t>
  </si>
  <si>
    <t>Laundry service</t>
  </si>
  <si>
    <t>Outsourced labor</t>
  </si>
  <si>
    <t>Other revenue</t>
  </si>
  <si>
    <r>
      <t xml:space="preserve">Direct sales items: </t>
    </r>
    <r>
      <rPr>
        <sz val="10"/>
        <rFont val="Arial Narrow"/>
        <family val="2"/>
      </rPr>
      <t>dispensers, soap, paper, etc.</t>
    </r>
  </si>
  <si>
    <t>Rental laundry replacement  charges</t>
  </si>
  <si>
    <t>Packs &amp; specialty linens</t>
  </si>
  <si>
    <t>Employee Fringe Benefits</t>
  </si>
  <si>
    <t>— advertising, sales salary, commissions</t>
  </si>
  <si>
    <t>Flatwork</t>
  </si>
  <si>
    <t>Soil to Clean ratio</t>
  </si>
  <si>
    <t>Fleet Costs:</t>
  </si>
  <si>
    <t>Cost per mile to run trucks</t>
  </si>
  <si>
    <t>Delivery vehicle lease costs</t>
  </si>
  <si>
    <t>$</t>
  </si>
  <si>
    <t>MPG</t>
  </si>
  <si>
    <t>Total revenue</t>
  </si>
  <si>
    <t>Number of FTE employees</t>
  </si>
  <si>
    <t>Have you seen an increase in demand for reusable PPE?</t>
  </si>
  <si>
    <t>Do you plan to further diversify your product and service offerings in the future?</t>
  </si>
  <si>
    <t>Current Services Offered</t>
  </si>
  <si>
    <t>Off-site linen management</t>
  </si>
  <si>
    <t>Exchange Carts</t>
  </si>
  <si>
    <t>Bulk Cart delivery</t>
  </si>
  <si>
    <t>Plastic/Cardboard recycling</t>
  </si>
  <si>
    <t>Shredding</t>
  </si>
  <si>
    <t>RFID tracking</t>
  </si>
  <si>
    <t>Iniform Service (pressed/steamed, personalized)</t>
  </si>
  <si>
    <t>Long term care linen services</t>
  </si>
  <si>
    <t>Retail Medical laundry services</t>
  </si>
  <si>
    <t>Disposable product direct sale</t>
  </si>
  <si>
    <t>Home Healthcare services</t>
  </si>
  <si>
    <r>
      <t>Contaminated/Hazardous waste collection &amp; disposal</t>
    </r>
    <r>
      <rPr>
        <sz val="10"/>
        <rFont val="Arial Narrow"/>
        <family val="2"/>
      </rPr>
      <t xml:space="preserve"> (incineration, microwaving)</t>
    </r>
  </si>
  <si>
    <t>Indicate if offered: 0 = No / 1 = Yes</t>
  </si>
  <si>
    <t>Operational Equipment/Systems &amp; Innovations</t>
  </si>
  <si>
    <t>Indicate if used:  0 = No / 1 = Yes</t>
  </si>
  <si>
    <t>Production Management Tracking</t>
  </si>
  <si>
    <t>Incentive Pay on Production Standards</t>
  </si>
  <si>
    <t>Incentive Pay on attendance</t>
  </si>
  <si>
    <t>Incentive pay on safety</t>
  </si>
  <si>
    <t>Sort System automation (sort to bag/chute,</t>
  </si>
  <si>
    <t>Bagging/Packaging System</t>
  </si>
  <si>
    <t>RFID sorting</t>
  </si>
  <si>
    <t>RFID Tracking for loss</t>
  </si>
  <si>
    <t>Vehicle leasing</t>
  </si>
  <si>
    <t>Equipment leasing</t>
  </si>
  <si>
    <t>Automated quality scanning</t>
  </si>
  <si>
    <t>Providing staffing to work in hospitals will be more difficult and more expensive going forward.</t>
  </si>
  <si>
    <t>1=Strongly agree  5=Stongly disagree</t>
  </si>
  <si>
    <t>Please rate the following from 1 - 5</t>
  </si>
  <si>
    <t>Employees are demanding more protective measures and better PPE.</t>
  </si>
  <si>
    <t>We are enhancing our linen management and data collection services.</t>
  </si>
  <si>
    <t>Use of RFID for textile tracking and loss management is critical for linen management.</t>
  </si>
  <si>
    <t>Which of the following does your Safety Committee engage in?</t>
  </si>
  <si>
    <t>Safety Audits</t>
  </si>
  <si>
    <t>Practice drills</t>
  </si>
  <si>
    <t>Monthly Meetings</t>
  </si>
  <si>
    <t>Safety Training</t>
  </si>
  <si>
    <t>Safety Awards to teams or individuals</t>
  </si>
  <si>
    <t>Safety Games</t>
  </si>
  <si>
    <t>Bonuses for performance</t>
  </si>
  <si>
    <t>Visiting other facilities</t>
  </si>
  <si>
    <t>Engaging expert help</t>
  </si>
  <si>
    <t>Recommending equipment change</t>
  </si>
  <si>
    <t>Infection Control standards for laundry from TRSA and HLAC adequately meet the needs of increased healthcare scrutiny:</t>
  </si>
  <si>
    <t>Enter 1 - 4</t>
  </si>
  <si>
    <t>Year</t>
  </si>
  <si>
    <t>ID</t>
  </si>
  <si>
    <t>Contact</t>
  </si>
  <si>
    <t>Email</t>
  </si>
  <si>
    <t>Comp Contact</t>
  </si>
  <si>
    <t>Address1</t>
  </si>
  <si>
    <t>Address2</t>
  </si>
  <si>
    <t>City</t>
  </si>
  <si>
    <t>State</t>
  </si>
  <si>
    <t>Zip</t>
  </si>
  <si>
    <t>Phone</t>
  </si>
  <si>
    <t>Safety Contact</t>
  </si>
  <si>
    <t>Safety Email</t>
  </si>
  <si>
    <t>Comp email</t>
  </si>
  <si>
    <t>Green Contact</t>
  </si>
  <si>
    <t>Green email</t>
  </si>
  <si>
    <t>HC Contact</t>
  </si>
  <si>
    <t>HC email</t>
  </si>
  <si>
    <t>b</t>
  </si>
  <si>
    <t>ZipCode</t>
  </si>
  <si>
    <t>TYPE</t>
  </si>
  <si>
    <t>SOIL_CLEAN</t>
  </si>
  <si>
    <t>EMP</t>
  </si>
  <si>
    <t>CERT</t>
  </si>
  <si>
    <t>BULK</t>
  </si>
  <si>
    <t>DISTANCE</t>
  </si>
  <si>
    <t>Demographics</t>
  </si>
  <si>
    <t>Utilities</t>
  </si>
  <si>
    <t>GAL</t>
  </si>
  <si>
    <t>NATL_GAS</t>
  </si>
  <si>
    <t>ELEC</t>
  </si>
  <si>
    <t>RECYCLE</t>
  </si>
  <si>
    <t>PPOH_TOTAL</t>
  </si>
  <si>
    <t>PPOH_DIRECT</t>
  </si>
  <si>
    <t>14.</t>
  </si>
  <si>
    <t>15.</t>
  </si>
  <si>
    <t>16.</t>
  </si>
  <si>
    <t>17.</t>
  </si>
  <si>
    <t>18.</t>
  </si>
  <si>
    <t>19.</t>
  </si>
  <si>
    <t>Average——</t>
  </si>
  <si>
    <t>Lowest———</t>
  </si>
  <si>
    <t>Highest———</t>
  </si>
  <si>
    <t>PRODN_LO</t>
  </si>
  <si>
    <t>PRODN_HI</t>
  </si>
  <si>
    <t>PRODN_AVG</t>
  </si>
  <si>
    <t>SUPR_LO</t>
  </si>
  <si>
    <t>SUPR_HI</t>
  </si>
  <si>
    <t>SUPR_AVG</t>
  </si>
  <si>
    <t>ENGR_LO</t>
  </si>
  <si>
    <t>ENGR_HI</t>
  </si>
  <si>
    <t>ENGR_AVG</t>
  </si>
  <si>
    <t>ROUTE_LO</t>
  </si>
  <si>
    <t>ROUTE_HI</t>
  </si>
  <si>
    <t>ROUTE_AVG</t>
  </si>
  <si>
    <t>ADMIN_LO</t>
  </si>
  <si>
    <t>ADMIN_HI</t>
  </si>
  <si>
    <t>ADMIN_AVG</t>
  </si>
  <si>
    <t>Market Trends</t>
  </si>
  <si>
    <t>POST_TREND</t>
  </si>
  <si>
    <t>NEW_OP</t>
  </si>
  <si>
    <t>PPE</t>
  </si>
  <si>
    <t>PLAN</t>
  </si>
  <si>
    <t>DIVERSIFY</t>
  </si>
  <si>
    <t>SER_OFF</t>
  </si>
  <si>
    <t>SER_EXC</t>
  </si>
  <si>
    <t>SER_BULK</t>
  </si>
  <si>
    <t>SER_RECYCLE</t>
  </si>
  <si>
    <t>SER_SHRED</t>
  </si>
  <si>
    <t>SER_RFID</t>
  </si>
  <si>
    <t>SER_UNI</t>
  </si>
  <si>
    <t>SER_LT</t>
  </si>
  <si>
    <t>SER_RETAIL</t>
  </si>
  <si>
    <t>SER_DISP</t>
  </si>
  <si>
    <t>SER_HOME</t>
  </si>
  <si>
    <t>SER_HAZ</t>
  </si>
  <si>
    <t>OP_PRODN</t>
  </si>
  <si>
    <t>OP_STD</t>
  </si>
  <si>
    <t>OP_ATTEND</t>
  </si>
  <si>
    <t>OP_SAFETY</t>
  </si>
  <si>
    <t>OP_SORT</t>
  </si>
  <si>
    <t>OP_BAG</t>
  </si>
  <si>
    <t>OP_TRACK</t>
  </si>
  <si>
    <t>OP_RFIDsort</t>
  </si>
  <si>
    <t>OP_VEH</t>
  </si>
  <si>
    <t>OP_EQUIP</t>
  </si>
  <si>
    <t>OP_AUTO</t>
  </si>
  <si>
    <t>Financial</t>
  </si>
  <si>
    <t>NS</t>
  </si>
  <si>
    <t>DEL</t>
  </si>
  <si>
    <t>SLS</t>
  </si>
  <si>
    <t>PT</t>
  </si>
  <si>
    <t>REV_LAUNDRY</t>
  </si>
  <si>
    <t>REV_CHGS</t>
  </si>
  <si>
    <t>REV_DIRECT</t>
  </si>
  <si>
    <t>REV_LABOR</t>
  </si>
  <si>
    <t>REV_PACKS</t>
  </si>
  <si>
    <t>REV_OTH</t>
  </si>
  <si>
    <t>REV_TOTAL</t>
  </si>
  <si>
    <t>LAB_SORT</t>
  </si>
  <si>
    <t>LAB_WASH</t>
  </si>
  <si>
    <t>LAB_FLAT</t>
  </si>
  <si>
    <t>LAB_DRY</t>
  </si>
  <si>
    <t>LAB_PACK</t>
  </si>
  <si>
    <t>LAB_SUR</t>
  </si>
  <si>
    <t>LAB_SUPR</t>
  </si>
  <si>
    <t>LAB_ROUTE</t>
  </si>
  <si>
    <t>LAB_ENGR</t>
  </si>
  <si>
    <t>LAB_JAN</t>
  </si>
  <si>
    <t>LAB_ADMIN</t>
  </si>
  <si>
    <t>LAB_SLS</t>
  </si>
  <si>
    <t>BENE</t>
  </si>
  <si>
    <t>RM</t>
  </si>
  <si>
    <t>CAPEX</t>
  </si>
  <si>
    <t>LINEN_REP</t>
  </si>
  <si>
    <t>PER_MILE</t>
  </si>
  <si>
    <t>Labor</t>
  </si>
  <si>
    <t>Revenue by category</t>
  </si>
  <si>
    <t>Benefits</t>
  </si>
  <si>
    <t>Sales Growth</t>
  </si>
  <si>
    <t>20.</t>
  </si>
  <si>
    <t>21.</t>
  </si>
  <si>
    <t>22.</t>
  </si>
  <si>
    <t>23.</t>
  </si>
  <si>
    <t>24.</t>
  </si>
  <si>
    <t>25.</t>
  </si>
  <si>
    <t>26.</t>
  </si>
  <si>
    <t>29.</t>
  </si>
  <si>
    <t>30.</t>
  </si>
  <si>
    <t>31.</t>
  </si>
  <si>
    <t>32.</t>
  </si>
  <si>
    <t>33.</t>
  </si>
  <si>
    <t>34.</t>
  </si>
  <si>
    <t>AGREEABLE</t>
  </si>
  <si>
    <t>STAFFING</t>
  </si>
  <si>
    <t>BETTER</t>
  </si>
  <si>
    <t>ENHANCE</t>
  </si>
  <si>
    <t>Safe_Audit</t>
  </si>
  <si>
    <t>Safe_Drill</t>
  </si>
  <si>
    <t>Safe_Mtg</t>
  </si>
  <si>
    <t>Safe_Train</t>
  </si>
  <si>
    <t>Safe_Award</t>
  </si>
  <si>
    <t>Safe_Bonus</t>
  </si>
  <si>
    <t>Safe_Visit</t>
  </si>
  <si>
    <t>Safe_Expert</t>
  </si>
  <si>
    <t>Safe_Equip</t>
  </si>
  <si>
    <t>35.</t>
  </si>
  <si>
    <t>36.</t>
  </si>
  <si>
    <t>37.</t>
  </si>
  <si>
    <t>38.</t>
  </si>
  <si>
    <t>39.</t>
  </si>
  <si>
    <t>40.</t>
  </si>
  <si>
    <t>41.</t>
  </si>
  <si>
    <r>
      <rPr>
        <b/>
        <sz val="10"/>
        <rFont val="Arial"/>
        <family val="2"/>
      </rPr>
      <t>1</t>
    </r>
    <r>
      <rPr>
        <sz val="10"/>
        <rFont val="Arial"/>
        <family val="2"/>
      </rPr>
      <t xml:space="preserve">=Too stringent / </t>
    </r>
    <r>
      <rPr>
        <b/>
        <sz val="10"/>
        <rFont val="Arial"/>
        <family val="2"/>
      </rPr>
      <t>2</t>
    </r>
    <r>
      <rPr>
        <sz val="10"/>
        <rFont val="Arial"/>
        <family val="2"/>
      </rPr>
      <t xml:space="preserve">=Just right as they are / </t>
    </r>
    <r>
      <rPr>
        <b/>
        <sz val="10"/>
        <rFont val="Arial"/>
        <family val="2"/>
      </rPr>
      <t>3</t>
    </r>
    <r>
      <rPr>
        <sz val="10"/>
        <rFont val="Arial"/>
        <family val="2"/>
      </rPr>
      <t>=Too weak</t>
    </r>
  </si>
  <si>
    <t>We test cleanliness levels of hard surfaces, carts, tables and conveyors using an ATP or similar technology.:</t>
  </si>
  <si>
    <t>Our customers have asked us to improve the packaging and handling of linen to ensure product integrity.</t>
  </si>
  <si>
    <t>Antimicrobial textiles and textile treatments are in demand from our customers.</t>
  </si>
  <si>
    <t>We are more optimistic about the state of our industry than we were one year ago.</t>
  </si>
  <si>
    <t>Due to labor cost and availability, we will invest in more technology and efficiency improving equipment this year.</t>
  </si>
  <si>
    <t>INFECTION</t>
  </si>
  <si>
    <t>PPE_Demand</t>
  </si>
  <si>
    <t>ATP</t>
  </si>
  <si>
    <t>INTEGRITY</t>
  </si>
  <si>
    <t>INVEST</t>
  </si>
  <si>
    <t>OPTIMSITIC</t>
  </si>
  <si>
    <t>ANTIMICRO</t>
  </si>
  <si>
    <t>Email your completed questionnaire to:</t>
  </si>
  <si>
    <t>or mail Mackay Research Group, P.O. Box 17668, Boulder, CO 80308-0668</t>
  </si>
  <si>
    <t>surveys@mackayresearchgroup.com</t>
  </si>
  <si>
    <t>Your data will be treated confidentially by Mackay Research Group.</t>
  </si>
  <si>
    <t>Do you expect customers to be more agreeable to paying for additional services in the next year?</t>
  </si>
  <si>
    <t>0=No / 1=Yes</t>
  </si>
  <si>
    <t>0=Disagree / 1=Agree</t>
  </si>
  <si>
    <t>RFID</t>
  </si>
  <si>
    <r>
      <rPr>
        <b/>
        <sz val="10"/>
        <rFont val="Arial"/>
        <family val="2"/>
      </rPr>
      <t>1</t>
    </r>
    <r>
      <rPr>
        <sz val="10"/>
        <rFont val="Arial"/>
        <family val="2"/>
      </rPr>
      <t xml:space="preserve">=Commercial for profit / </t>
    </r>
    <r>
      <rPr>
        <b/>
        <sz val="10"/>
        <rFont val="Arial"/>
        <family val="2"/>
      </rPr>
      <t>2</t>
    </r>
    <r>
      <rPr>
        <sz val="10"/>
        <rFont val="Arial"/>
        <family val="2"/>
      </rPr>
      <t xml:space="preserve">=Hospital Owned / </t>
    </r>
    <r>
      <rPr>
        <b/>
        <sz val="10"/>
        <rFont val="Arial"/>
        <family val="2"/>
      </rPr>
      <t>3</t>
    </r>
    <r>
      <rPr>
        <sz val="10"/>
        <rFont val="Arial"/>
        <family val="2"/>
      </rPr>
      <t>=On-Premise</t>
    </r>
  </si>
  <si>
    <t>LBS_RANGE</t>
  </si>
  <si>
    <t>Region Served</t>
  </si>
  <si>
    <t>REGION</t>
  </si>
  <si>
    <t xml:space="preserve">Gallons of Water consumed per clean pound shipped (total plant water) </t>
  </si>
  <si>
    <t xml:space="preserve">Electric: kWh consumed per clean pound shipped: </t>
  </si>
  <si>
    <t>Natural Gas Use BTU’s/clean pound shipped:</t>
  </si>
  <si>
    <t xml:space="preserve">(includes all staff, temporary labor and drivers except administrative/office, off-site staff) </t>
  </si>
  <si>
    <t>Plant Pounds Per Operator Hour — PPOH</t>
  </si>
  <si>
    <t xml:space="preserve">Direct (Productive) PPOH (include all staff who touch linen inside plant) </t>
  </si>
  <si>
    <r>
      <rPr>
        <b/>
        <sz val="10"/>
        <rFont val="Arial"/>
        <family val="2"/>
      </rPr>
      <t>Labor Costs</t>
    </r>
    <r>
      <rPr>
        <sz val="10"/>
        <rFont val="Arial"/>
        <family val="2"/>
      </rPr>
      <t xml:space="preserve"> — excluding benefits</t>
    </r>
  </si>
  <si>
    <t>% of Sales</t>
  </si>
  <si>
    <t>%</t>
  </si>
  <si>
    <t>Plant Supervision</t>
  </si>
  <si>
    <t>Drivers</t>
  </si>
  <si>
    <t>Maintenance — including chief engineer</t>
  </si>
  <si>
    <t>Sales — including commissions</t>
  </si>
  <si>
    <t>Linen replacement costs per clean pound</t>
  </si>
  <si>
    <r>
      <t xml:space="preserve">Capital Expenditures </t>
    </r>
    <r>
      <rPr>
        <sz val="10"/>
        <rFont val="Arial"/>
        <family val="2"/>
      </rPr>
      <t>as a % of sales</t>
    </r>
  </si>
  <si>
    <t xml:space="preserve">Percent total Revenue Change from prior year </t>
  </si>
  <si>
    <t xml:space="preserve">Repairs &amp; Maintenance cost per clean shipped pound: </t>
  </si>
  <si>
    <r>
      <t xml:space="preserve">Cost of Sales/marketing </t>
    </r>
    <r>
      <rPr>
        <sz val="10"/>
        <rFont val="Arial"/>
        <family val="2"/>
      </rPr>
      <t>— percent of sales</t>
    </r>
  </si>
  <si>
    <t>= Total Soil Pounds received/Total Clean Pounds Shipped</t>
  </si>
  <si>
    <t>Miles per gallon on trucks</t>
  </si>
  <si>
    <t>42.</t>
  </si>
  <si>
    <t>44.</t>
  </si>
  <si>
    <t>45.</t>
  </si>
  <si>
    <t>Type of Organization</t>
  </si>
  <si>
    <r>
      <rPr>
        <b/>
        <sz val="10"/>
        <rFont val="Arial"/>
        <family val="2"/>
      </rPr>
      <t>1</t>
    </r>
    <r>
      <rPr>
        <sz val="10"/>
        <rFont val="Arial"/>
        <family val="2"/>
      </rPr>
      <t xml:space="preserve">=For-profit / </t>
    </r>
    <r>
      <rPr>
        <b/>
        <sz val="10"/>
        <rFont val="Arial"/>
        <family val="2"/>
      </rPr>
      <t>2</t>
    </r>
    <r>
      <rPr>
        <sz val="10"/>
        <rFont val="Arial"/>
        <family val="2"/>
      </rPr>
      <t>=Non-profit</t>
    </r>
  </si>
  <si>
    <t>Please note: 1 Imperior gallon = 1.2 U.S. gallons</t>
  </si>
  <si>
    <t xml:space="preserve">Reference: 1 Therm = 100,000 BTU’s, 1 Million BTU’s = 1 Dekatherm) </t>
  </si>
  <si>
    <t>1 Metric pound = 1.1 pounds</t>
  </si>
  <si>
    <t>1 Kilogram = 2.2 pounds</t>
  </si>
  <si>
    <t>— Report in local currency USD or CAD</t>
  </si>
  <si>
    <t>2 = Exchange Cart Service</t>
  </si>
  <si>
    <t>4 = Ambulatory/Retail medical</t>
  </si>
  <si>
    <t>5 = Other</t>
  </si>
  <si>
    <t>3 = Cart-mark-up to Unit</t>
  </si>
  <si>
    <t>Enter 1 - 5</t>
  </si>
  <si>
    <r>
      <rPr>
        <b/>
        <sz val="10"/>
        <rFont val="Arial"/>
        <family val="2"/>
      </rPr>
      <t xml:space="preserve">MPG </t>
    </r>
    <r>
      <rPr>
        <sz val="10"/>
        <rFont val="Arial"/>
        <family val="2"/>
      </rPr>
      <t>—</t>
    </r>
    <r>
      <rPr>
        <sz val="10"/>
        <rFont val="Calibri"/>
        <family val="2"/>
        <scheme val="minor"/>
      </rPr>
      <t xml:space="preserve"> 1 Kilometer per liter =2.35 Miles / US gallon</t>
    </r>
  </si>
  <si>
    <t>43.</t>
  </si>
  <si>
    <t>46.</t>
  </si>
  <si>
    <t>ORG</t>
  </si>
  <si>
    <t>1 = Bulk Service</t>
  </si>
  <si>
    <t>Gallons per Lb.</t>
  </si>
  <si>
    <t>Expected answers between 2,000 and 8,000</t>
  </si>
  <si>
    <t>BTU's per Lb.</t>
  </si>
  <si>
    <t>Expected answers between .03 to .15</t>
  </si>
  <si>
    <t>kWh per Lb.</t>
  </si>
  <si>
    <t>= Soil Sort Labor / Total Sales x 100</t>
  </si>
  <si>
    <t>= Wash Floor Labor / Total Sales x 100</t>
  </si>
  <si>
    <t>= Flatwork Labor / Total Sales x 100</t>
  </si>
  <si>
    <t>= Dry Fold Labor / Total Sales x 100</t>
  </si>
  <si>
    <t>= Pack Out Labor / Total Sales x 100</t>
  </si>
  <si>
    <t>= Surgical Packroom Labor / Total Sales x 100</t>
  </si>
  <si>
    <t>= Plant Supervision / Total Sales x 100</t>
  </si>
  <si>
    <t>= Driver Labor / Total Sales x 100</t>
  </si>
  <si>
    <t>= Maintenance Labor / Total Sales x 100</t>
  </si>
  <si>
    <t>= Janitorial Labor / Total Sales x 100</t>
  </si>
  <si>
    <t>= Office &amp; Clerical Wages / Total Sales x 100</t>
  </si>
  <si>
    <t>= Sales Salaries &amp; Commissions  / Total Sales x 100</t>
  </si>
  <si>
    <t>Expected answer range $0.005 to $0.03</t>
  </si>
  <si>
    <t>Expected answer range of 1.01 to 1.15</t>
  </si>
  <si>
    <t>Delivery Lease Cost Calculation: Total Lease cost/Total Sales x 100 = Lease cost Percent of Sales</t>
  </si>
  <si>
    <r>
      <rPr>
        <b/>
        <i/>
        <sz val="11"/>
        <rFont val="Calibri"/>
        <family val="2"/>
        <scheme val="minor"/>
      </rPr>
      <t xml:space="preserve">Please note: </t>
    </r>
    <r>
      <rPr>
        <i/>
        <sz val="11"/>
        <rFont val="Calibri"/>
        <family val="2"/>
        <scheme val="minor"/>
      </rPr>
      <t>All answers should be converted to US standard measurements per the directions within each question (i.e. gallons, pounds, miles)</t>
    </r>
  </si>
  <si>
    <t>BTU's = 1,025,000 BTU / MCF (MCF = 1000 cu.ft./yr)</t>
  </si>
  <si>
    <r>
      <rPr>
        <b/>
        <sz val="10"/>
        <rFont val="Calibri"/>
        <family val="2"/>
        <scheme val="minor"/>
      </rPr>
      <t xml:space="preserve">For example: </t>
    </r>
    <r>
      <rPr>
        <sz val="10"/>
        <rFont val="Calibri"/>
        <family val="2"/>
        <scheme val="minor"/>
      </rPr>
      <t>20,000 MCF/Yr x 1,025000 BTU/MCF = 20,500,000,000 BTU's ÷ 10,000,000 Lb/Yr = 2,050 BTU's/Lb</t>
    </r>
  </si>
  <si>
    <t>Expected answers between .3 and 2.5</t>
  </si>
  <si>
    <t>Survey Deadline</t>
  </si>
  <si>
    <t>TRSA Healthcare Laundry</t>
  </si>
  <si>
    <t>Benchmarking Survey</t>
  </si>
  <si>
    <t xml:space="preserve">Thank you for participating in the 2022 Healthcare Landry Benchmarking Survey.  Our goal is to gather pertinent information that will help provide understanding and direction of where the industry is moving and changing.
</t>
  </si>
  <si>
    <r>
      <rPr>
        <b/>
        <sz val="11"/>
        <rFont val="Arial"/>
        <family val="2"/>
      </rPr>
      <t xml:space="preserve">Please provide your answers individually for </t>
    </r>
    <r>
      <rPr>
        <b/>
        <u/>
        <sz val="11"/>
        <rFont val="Arial"/>
        <family val="2"/>
      </rPr>
      <t>each</t>
    </r>
    <r>
      <rPr>
        <b/>
        <sz val="11"/>
        <rFont val="Arial"/>
        <family val="2"/>
      </rPr>
      <t xml:space="preserve"> of your plant locations.
</t>
    </r>
    <r>
      <rPr>
        <sz val="11"/>
        <rFont val="Arial"/>
        <family val="2"/>
      </rPr>
      <t>Please complete one survey for each location – not combined for multiple plants.</t>
    </r>
  </si>
  <si>
    <t>Participants will receive the full report, including segment data, prior to the 2022 TRSA Healthcare Conference.  A summary report will be presented and distributed at the conference.</t>
  </si>
  <si>
    <t>No one from TRSA or its staff will have access to individual company data.</t>
  </si>
  <si>
    <t>If you have any questions, please email them to Susie Jackson at TRSA: sjackson@trsa.org</t>
  </si>
  <si>
    <t>Canada</t>
  </si>
  <si>
    <r>
      <rPr>
        <b/>
        <sz val="10"/>
        <rFont val="Arial"/>
        <family val="2"/>
      </rPr>
      <t>New England:</t>
    </r>
    <r>
      <rPr>
        <sz val="10"/>
        <rFont val="Arial"/>
        <family val="2"/>
      </rPr>
      <t xml:space="preserve"> CT, MA, ME, NH, RI, VT</t>
    </r>
  </si>
  <si>
    <r>
      <rPr>
        <b/>
        <sz val="10"/>
        <rFont val="Arial"/>
        <family val="2"/>
      </rPr>
      <t>Mid Atlantic:</t>
    </r>
    <r>
      <rPr>
        <sz val="10"/>
        <rFont val="Arial"/>
        <family val="2"/>
      </rPr>
      <t xml:space="preserve"> DC, DE, MD, NJ, NY, PA, VA, WV</t>
    </r>
  </si>
  <si>
    <r>
      <t>Southeast:</t>
    </r>
    <r>
      <rPr>
        <sz val="10"/>
        <color theme="1"/>
        <rFont val="Arial"/>
        <family val="2"/>
      </rPr>
      <t xml:space="preserve"> AL, FL, GA, MS, NC, SC, TN</t>
    </r>
  </si>
  <si>
    <r>
      <t>Midwest:</t>
    </r>
    <r>
      <rPr>
        <sz val="10"/>
        <color theme="1"/>
        <rFont val="Arial"/>
        <family val="2"/>
      </rPr>
      <t xml:space="preserve"> IL, IN, KY, MI, MN, OH, WI</t>
    </r>
  </si>
  <si>
    <r>
      <t>North Central:</t>
    </r>
    <r>
      <rPr>
        <sz val="10"/>
        <color theme="1"/>
        <rFont val="Arial"/>
        <family val="2"/>
      </rPr>
      <t xml:space="preserve"> CO, IA, KS, MO, MT. NE, ND, SD, UT, WY</t>
    </r>
  </si>
  <si>
    <r>
      <t>South Central:</t>
    </r>
    <r>
      <rPr>
        <sz val="10"/>
        <color theme="1"/>
        <rFont val="Arial"/>
        <family val="2"/>
      </rPr>
      <t xml:space="preserve"> AR, LA, NM,OK, TX</t>
    </r>
  </si>
  <si>
    <r>
      <t>West:</t>
    </r>
    <r>
      <rPr>
        <sz val="10"/>
        <color theme="1"/>
        <rFont val="Arial"/>
        <family val="2"/>
      </rPr>
      <t xml:space="preserve"> AK, AZ, CA, HI, ID, NV, OR, WA</t>
    </r>
  </si>
  <si>
    <t>Enter 1-8</t>
  </si>
  <si>
    <t>Miles</t>
  </si>
  <si>
    <r>
      <t xml:space="preserve">Plant Total PPOH </t>
    </r>
    <r>
      <rPr>
        <sz val="10"/>
        <rFont val="Arial"/>
        <family val="2"/>
      </rPr>
      <t xml:space="preserve">— Pounds Per Operator Hour </t>
    </r>
  </si>
  <si>
    <t>— ($) excluding start-up linen for new business</t>
  </si>
  <si>
    <t>— % maintenance capex, not new plant</t>
  </si>
  <si>
    <r>
      <t>$</t>
    </r>
    <r>
      <rPr>
        <b/>
        <sz val="10"/>
        <rFont val="Arial"/>
        <family val="2"/>
      </rPr>
      <t xml:space="preserve"> per mile</t>
    </r>
    <r>
      <rPr>
        <sz val="10"/>
        <rFont val="Arial"/>
        <family val="2"/>
      </rPr>
      <t xml:space="preserve"> —</t>
    </r>
    <r>
      <rPr>
        <sz val="10"/>
        <rFont val="Calibri"/>
        <family val="2"/>
        <scheme val="minor"/>
      </rPr>
      <t xml:space="preserve"> 1 Kilometer = 0.62 Miles</t>
    </r>
  </si>
  <si>
    <t>Safe_Game</t>
  </si>
  <si>
    <t>Permanent Employees
% of Sales</t>
  </si>
  <si>
    <t>Temporary Labor
% of Sales</t>
  </si>
  <si>
    <t>Total Labor Costs
% of Sales</t>
  </si>
  <si>
    <t>TEMP_SORT</t>
  </si>
  <si>
    <t>TEMP_WASH</t>
  </si>
  <si>
    <t>TEMP_FLAT</t>
  </si>
  <si>
    <t>TEMP_DRY</t>
  </si>
  <si>
    <t>TEMP_PACK</t>
  </si>
  <si>
    <t>TEMP_SUR</t>
  </si>
  <si>
    <t>TEMP_SUPR</t>
  </si>
  <si>
    <t>TEMP_ROUTE</t>
  </si>
  <si>
    <t>TEMP_ENGR</t>
  </si>
  <si>
    <t>TEMP_JAN</t>
  </si>
  <si>
    <t>TEMP_ADMIN</t>
  </si>
  <si>
    <t>TEMP_SLS</t>
  </si>
  <si>
    <t>TOT_SORT</t>
  </si>
  <si>
    <t>TOT_WASH</t>
  </si>
  <si>
    <t>TOT_FLAT</t>
  </si>
  <si>
    <t>TOT_DRY</t>
  </si>
  <si>
    <t>TOT_PACK</t>
  </si>
  <si>
    <t>TOT_SUR</t>
  </si>
  <si>
    <t>TOT_SUPR</t>
  </si>
  <si>
    <t>TOT_ROUTE</t>
  </si>
  <si>
    <t>TOT_ENGR</t>
  </si>
  <si>
    <t>TOT_JAN</t>
  </si>
  <si>
    <t>TOT_ADMIN</t>
  </si>
  <si>
    <t>TOT_SLS</t>
  </si>
  <si>
    <t>&lt;= New in 2022</t>
  </si>
  <si>
    <t>&lt;=Questions moved down from here to end in 2022</t>
  </si>
  <si>
    <t>How much of your revenue is generated via surcharges?</t>
  </si>
  <si>
    <t>Are you prepared for future outbreaks by creating a robust Pandemic plan?</t>
  </si>
  <si>
    <t>&lt;= Question deleted</t>
  </si>
  <si>
    <t>3 = Unchanged (+/- 2%)</t>
  </si>
  <si>
    <r>
      <t xml:space="preserve">1 = 5% or more </t>
    </r>
    <r>
      <rPr>
        <u/>
        <sz val="10"/>
        <rFont val="Arial"/>
        <family val="2"/>
      </rPr>
      <t>fewer</t>
    </r>
    <r>
      <rPr>
        <sz val="10"/>
        <rFont val="Arial"/>
        <family val="2"/>
      </rPr>
      <t xml:space="preserve"> pounds per patient day</t>
    </r>
  </si>
  <si>
    <r>
      <t xml:space="preserve">4 = 2%-5% </t>
    </r>
    <r>
      <rPr>
        <u/>
        <sz val="10"/>
        <rFont val="Arial"/>
        <family val="2"/>
      </rPr>
      <t>more</t>
    </r>
    <r>
      <rPr>
        <sz val="10"/>
        <rFont val="Arial"/>
        <family val="2"/>
      </rPr>
      <t xml:space="preserve"> pounds per patient day</t>
    </r>
  </si>
  <si>
    <t>5= 5% or more</t>
  </si>
  <si>
    <t>Are customers consuming more or less linen (pounds) per patient day than before the pandemic?</t>
  </si>
  <si>
    <t>2 = 2%-5% fewer pounds</t>
  </si>
  <si>
    <t>How much has linen loss cost changed since 2019? </t>
  </si>
  <si>
    <t>% change in cost</t>
  </si>
  <si>
    <t>SURCHARGE</t>
  </si>
  <si>
    <t>LINEN_LBS</t>
  </si>
  <si>
    <t>47.</t>
  </si>
  <si>
    <t>48.</t>
  </si>
  <si>
    <t>49.</t>
  </si>
  <si>
    <t>LINEN_CHG</t>
  </si>
  <si>
    <t>In 2022 compared to 2019, demand for reusable PPE has:</t>
  </si>
  <si>
    <r>
      <rPr>
        <b/>
        <sz val="10"/>
        <rFont val="Arial"/>
        <family val="2"/>
      </rPr>
      <t>1</t>
    </r>
    <r>
      <rPr>
        <sz val="10"/>
        <rFont val="Arial"/>
        <family val="2"/>
      </rPr>
      <t xml:space="preserve">=Inceased   </t>
    </r>
    <r>
      <rPr>
        <b/>
        <sz val="10"/>
        <rFont val="Arial"/>
        <family val="2"/>
      </rPr>
      <t>2</t>
    </r>
    <r>
      <rPr>
        <sz val="10"/>
        <rFont val="Arial"/>
        <family val="2"/>
      </rPr>
      <t xml:space="preserve">=Decreased   </t>
    </r>
    <r>
      <rPr>
        <b/>
        <sz val="10"/>
        <rFont val="Arial"/>
        <family val="2"/>
      </rPr>
      <t>3</t>
    </r>
    <r>
      <rPr>
        <sz val="10"/>
        <rFont val="Arial"/>
        <family val="2"/>
      </rPr>
      <t>=Stayed the same</t>
    </r>
  </si>
  <si>
    <r>
      <t xml:space="preserve">The average </t>
    </r>
    <r>
      <rPr>
        <u/>
        <sz val="10"/>
        <rFont val="Arial"/>
        <family val="2"/>
      </rPr>
      <t>starting</t>
    </r>
    <r>
      <rPr>
        <sz val="10"/>
        <rFont val="Arial"/>
        <family val="2"/>
      </rPr>
      <t xml:space="preserve"> wage for production workers in:          2019</t>
    </r>
  </si>
  <si>
    <t>WAGE_2019</t>
  </si>
  <si>
    <t>WAGE_2020</t>
  </si>
  <si>
    <t>WAGE_2021</t>
  </si>
  <si>
    <t>WAGE_2022</t>
  </si>
  <si>
    <t>Q17_1</t>
  </si>
  <si>
    <t>Q17_2</t>
  </si>
  <si>
    <t>Q17_3</t>
  </si>
  <si>
    <t>Besides wage increases, name 3 things you’ve done to attract and retain employees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</si>
</sst>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mmmm\ d\,\ yyyy"/>
    <numFmt numFmtId="165" formatCode="0.0%"/>
    <numFmt numFmtId="166" formatCode="00000"/>
    <numFmt numFmtId="167" formatCode="&quot;$&quot;#,##0.00"/>
    <numFmt numFmtId="168" formatCode="#,##0.0"/>
    <numFmt numFmtId="169" formatCode="0.0"/>
    <numFmt numFmtId="170" formatCode="General_)"/>
    <numFmt numFmtId="171" formatCode="[h]:mm"/>
    <numFmt numFmtId="172" formatCode="&quot;$&quot;#,##0;[Red]\-&quot;$&quot;#,##0"/>
    <numFmt numFmtId="173" formatCode="#,##0.00\ &quot;Pts&quot;;[Red]\-#,##0.00\ &quot;Pts&quot;"/>
    <numFmt numFmtId="174" formatCode="#,##0.00&quot; $&quot;;\-#,##0.00&quot; $&quot;"/>
    <numFmt numFmtId="175" formatCode="#,##0.0000000"/>
    <numFmt numFmtId="176" formatCode="###,000"/>
    <numFmt numFmtId="177" formatCode="&quot;$&quot;#,##0.000"/>
    <numFmt numFmtId="178" formatCode="[$-409]mmmm\ d\,\ yyyy;@"/>
  </numFmts>
  <fonts count="8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u/>
      <sz val="10"/>
      <color indexed="12"/>
      <name val="Arial"/>
      <family val="2"/>
    </font>
    <font>
      <u/>
      <sz val="10"/>
      <color indexed="12"/>
      <name val="Arial"/>
      <family val="2"/>
    </font>
    <font>
      <sz val="11"/>
      <color theme="1"/>
      <name val="Calibri"/>
      <family val="2"/>
      <scheme val="minor"/>
    </font>
    <font>
      <sz val="10"/>
      <name val="Arial Narrow"/>
      <family val="2"/>
    </font>
    <font>
      <sz val="10"/>
      <color theme="0"/>
      <name val="Arial"/>
      <family val="2"/>
    </font>
    <font>
      <b/>
      <sz val="10"/>
      <color theme="0"/>
      <name val="Arial"/>
      <family val="2"/>
    </font>
    <font>
      <b/>
      <sz val="10"/>
      <name val="Arial Narrow"/>
      <family val="2"/>
    </font>
    <font>
      <sz val="10"/>
      <color indexed="8"/>
      <name val="MS Sans Serif"/>
      <family val="2"/>
    </font>
    <font>
      <b/>
      <sz val="10"/>
      <color indexed="8"/>
      <name val="Arial Narrow"/>
      <family val="2"/>
    </font>
    <font>
      <sz val="10"/>
      <color indexed="8"/>
      <name val="Arial"/>
      <family val="2"/>
    </font>
    <font>
      <sz val="8"/>
      <name val="Arial"/>
      <family val="2"/>
    </font>
    <font>
      <b/>
      <sz val="15"/>
      <color indexed="56"/>
      <name val="Calibri"/>
      <family val="2"/>
    </font>
    <font>
      <b/>
      <sz val="11"/>
      <color indexed="56"/>
      <name val="Calibri"/>
      <family val="2"/>
    </font>
    <font>
      <b/>
      <sz val="18"/>
      <color indexed="56"/>
      <name val="Cambria"/>
      <family val="2"/>
    </font>
    <font>
      <b/>
      <sz val="12"/>
      <name val="Arial"/>
      <family val="2"/>
    </font>
    <font>
      <sz val="9"/>
      <name val="Arial Narrow"/>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0"/>
      <name val="Calibri"/>
      <family val="2"/>
    </font>
    <font>
      <b/>
      <sz val="13"/>
      <color indexed="60"/>
      <name val="Calibri"/>
      <family val="2"/>
    </font>
    <font>
      <b/>
      <sz val="11"/>
      <color indexed="60"/>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0"/>
      <name val="Cambria"/>
      <family val="2"/>
    </font>
    <font>
      <b/>
      <sz val="11"/>
      <color indexed="8"/>
      <name val="Calibri"/>
      <family val="2"/>
    </font>
    <font>
      <sz val="10"/>
      <color indexed="12"/>
      <name val="Arial"/>
      <family val="2"/>
    </font>
    <font>
      <sz val="9"/>
      <name val="Helvetica"/>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2"/>
      <name val="Courier"/>
      <family val="3"/>
    </font>
    <font>
      <sz val="11"/>
      <name val="??"/>
      <family val="3"/>
      <charset val="129"/>
    </font>
    <font>
      <b/>
      <u/>
      <sz val="11"/>
      <color indexed="37"/>
      <name val="Arial"/>
      <family val="2"/>
    </font>
    <font>
      <sz val="7"/>
      <name val="Small Fonts"/>
      <family val="2"/>
    </font>
    <font>
      <sz val="8"/>
      <color indexed="12"/>
      <name val="Arial"/>
      <family val="2"/>
    </font>
    <font>
      <sz val="8"/>
      <color indexed="8"/>
      <name val="Arial"/>
      <family val="2"/>
    </font>
    <font>
      <sz val="8"/>
      <color indexed="8"/>
      <name val="Verdana"/>
      <family val="2"/>
    </font>
    <font>
      <b/>
      <sz val="8"/>
      <color indexed="8"/>
      <name val="Verdana"/>
      <family val="2"/>
    </font>
    <font>
      <i/>
      <sz val="8"/>
      <color indexed="8"/>
      <name val="Verdana"/>
      <family val="2"/>
    </font>
    <font>
      <b/>
      <i/>
      <sz val="8"/>
      <color indexed="8"/>
      <name val="Verdana"/>
      <family val="2"/>
    </font>
    <font>
      <b/>
      <sz val="8"/>
      <color indexed="11"/>
      <name val="Verdana"/>
      <family val="2"/>
    </font>
    <font>
      <b/>
      <sz val="8"/>
      <color indexed="13"/>
      <name val="Verdana"/>
      <family val="2"/>
    </font>
    <font>
      <b/>
      <sz val="8"/>
      <color indexed="10"/>
      <name val="Verdana"/>
      <family val="2"/>
    </font>
    <font>
      <b/>
      <sz val="11"/>
      <color indexed="52"/>
      <name val="Calibri"/>
      <family val="2"/>
    </font>
    <font>
      <b/>
      <sz val="13"/>
      <color indexed="56"/>
      <name val="Calibri"/>
      <family val="2"/>
    </font>
    <font>
      <sz val="11"/>
      <color indexed="52"/>
      <name val="Calibri"/>
      <family val="2"/>
    </font>
    <font>
      <sz val="11"/>
      <color indexed="60"/>
      <name val="Calibri"/>
      <family val="2"/>
    </font>
    <font>
      <u/>
      <sz val="10"/>
      <color theme="10"/>
      <name val="Arial"/>
      <family val="2"/>
    </font>
    <font>
      <b/>
      <sz val="10"/>
      <color rgb="FF0070C0"/>
      <name val="Arial"/>
      <family val="2"/>
    </font>
    <font>
      <sz val="11"/>
      <name val="Arial"/>
      <family val="2"/>
    </font>
    <font>
      <b/>
      <sz val="11"/>
      <name val="Arial"/>
      <family val="2"/>
    </font>
    <font>
      <b/>
      <u/>
      <sz val="11"/>
      <name val="Arial"/>
      <family val="2"/>
    </font>
    <font>
      <sz val="11"/>
      <name val="Calibri"/>
      <family val="2"/>
    </font>
    <font>
      <b/>
      <u/>
      <sz val="10"/>
      <name val="Arial"/>
      <family val="2"/>
    </font>
    <font>
      <sz val="10"/>
      <name val="Calibri"/>
      <family val="2"/>
      <scheme val="minor"/>
    </font>
    <font>
      <sz val="10"/>
      <color rgb="FF222222"/>
      <name val="Calibri"/>
      <family val="2"/>
      <scheme val="minor"/>
    </font>
    <font>
      <sz val="12"/>
      <color theme="0"/>
      <name val="Arial Black"/>
      <family val="2"/>
    </font>
    <font>
      <sz val="11"/>
      <color theme="0"/>
      <name val="Arial"/>
      <family val="2"/>
    </font>
    <font>
      <sz val="10"/>
      <name val="Calibri"/>
      <family val="2"/>
    </font>
    <font>
      <i/>
      <sz val="11"/>
      <name val="Calibri"/>
      <family val="2"/>
      <scheme val="minor"/>
    </font>
    <font>
      <b/>
      <i/>
      <sz val="11"/>
      <name val="Calibri"/>
      <family val="2"/>
      <scheme val="minor"/>
    </font>
    <font>
      <b/>
      <sz val="10"/>
      <name val="Calibri"/>
      <family val="2"/>
      <scheme val="minor"/>
    </font>
    <font>
      <sz val="14"/>
      <color theme="0"/>
      <name val="Arial Black"/>
      <family val="2"/>
    </font>
    <font>
      <sz val="11"/>
      <name val="Arial Black"/>
      <family val="2"/>
    </font>
    <font>
      <b/>
      <sz val="10"/>
      <color theme="1"/>
      <name val="Arial"/>
      <family val="2"/>
    </font>
    <font>
      <sz val="10"/>
      <color theme="1"/>
      <name val="Arial"/>
      <family val="2"/>
    </font>
    <font>
      <sz val="10"/>
      <color rgb="FF000000"/>
      <name val="Arial"/>
      <family val="2"/>
    </font>
    <font>
      <u/>
      <sz val="10"/>
      <name val="Arial"/>
      <family val="2"/>
    </font>
  </fonts>
  <fills count="46">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indexed="9"/>
        <bgColor indexed="64"/>
      </patternFill>
    </fill>
    <fill>
      <patternFill patternType="solid">
        <fgColor theme="3" tint="0.79998168889431442"/>
        <bgColor indexed="64"/>
      </patternFill>
    </fill>
    <fill>
      <patternFill patternType="solid">
        <fgColor indexed="45"/>
        <bgColor indexed="64"/>
      </patternFill>
    </fill>
    <fill>
      <patternFill patternType="solid">
        <fgColor indexed="47"/>
      </patternFill>
    </fill>
    <fill>
      <patternFill patternType="solid">
        <fgColor indexed="3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62"/>
      </patternFill>
    </fill>
    <fill>
      <patternFill patternType="solid">
        <fgColor indexed="36"/>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29"/>
        <bgColor indexed="8"/>
      </patternFill>
    </fill>
    <fill>
      <patternFill patternType="solid">
        <fgColor indexed="45"/>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49"/>
      </patternFill>
    </fill>
    <fill>
      <patternFill patternType="solid">
        <fgColor indexed="9"/>
      </patternFill>
    </fill>
    <fill>
      <patternFill patternType="solid">
        <fgColor indexed="55"/>
      </patternFill>
    </fill>
    <fill>
      <patternFill patternType="solid">
        <fgColor indexed="42"/>
      </patternFill>
    </fill>
    <fill>
      <patternFill patternType="solid">
        <fgColor indexed="27"/>
      </patternFill>
    </fill>
    <fill>
      <patternFill patternType="solid">
        <fgColor indexed="11"/>
      </patternFill>
    </fill>
    <fill>
      <patternFill patternType="solid">
        <fgColor indexed="53"/>
      </patternFill>
    </fill>
    <fill>
      <patternFill patternType="solid">
        <fgColor indexed="26"/>
        <bgColor indexed="64"/>
      </patternFill>
    </fill>
    <fill>
      <patternFill patternType="solid">
        <fgColor indexed="26"/>
        <bgColor indexed="9"/>
      </patternFill>
    </fill>
    <fill>
      <patternFill patternType="solid">
        <fgColor indexed="9"/>
        <bgColor indexed="8"/>
      </patternFill>
    </fill>
    <fill>
      <patternFill patternType="solid">
        <fgColor indexed="47"/>
        <bgColor indexed="8"/>
      </patternFill>
    </fill>
    <fill>
      <patternFill patternType="solid">
        <fgColor indexed="49"/>
        <bgColor indexed="8"/>
      </patternFill>
    </fill>
    <fill>
      <patternFill patternType="solid">
        <fgColor indexed="42"/>
        <bgColor indexed="8"/>
      </patternFill>
    </fill>
    <fill>
      <patternFill patternType="solid">
        <fgColor indexed="26"/>
        <bgColor indexed="8"/>
      </patternFill>
    </fill>
    <fill>
      <patternFill patternType="solid">
        <fgColor indexed="43"/>
        <bgColor indexed="8"/>
      </patternFill>
    </fill>
    <fill>
      <patternFill patternType="solid">
        <fgColor indexed="46"/>
        <bgColor indexed="8"/>
      </patternFill>
    </fill>
    <fill>
      <patternFill patternType="solid">
        <fgColor indexed="51"/>
        <bgColor indexed="8"/>
      </patternFill>
    </fill>
    <fill>
      <patternFill patternType="solid">
        <fgColor theme="0"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2"/>
      </bottom>
      <diagonal/>
    </border>
    <border>
      <left/>
      <right/>
      <top/>
      <bottom style="thick">
        <color indexed="51"/>
      </bottom>
      <diagonal/>
    </border>
    <border>
      <left/>
      <right/>
      <top/>
      <bottom style="medium">
        <color indexed="51"/>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2"/>
      </top>
      <bottom style="double">
        <color indexed="5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double">
        <color indexed="64"/>
      </left>
      <right/>
      <top/>
      <bottom style="hair">
        <color indexed="64"/>
      </bottom>
      <diagonal/>
    </border>
    <border>
      <left/>
      <right/>
      <top/>
      <bottom style="thick">
        <color indexed="22"/>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60"/>
      </left>
      <right style="thin">
        <color indexed="60"/>
      </right>
      <top style="thin">
        <color indexed="60"/>
      </top>
      <bottom style="thin">
        <color indexed="60"/>
      </bottom>
      <diagonal/>
    </border>
    <border>
      <left style="hair">
        <color indexed="22"/>
      </left>
      <right style="hair">
        <color indexed="22"/>
      </right>
      <top style="hair">
        <color indexed="22"/>
      </top>
      <bottom style="hair">
        <color indexed="22"/>
      </bottom>
      <diagonal/>
    </border>
    <border>
      <left style="hair">
        <color indexed="23"/>
      </left>
      <right style="hair">
        <color indexed="23"/>
      </right>
      <top style="hair">
        <color indexed="23"/>
      </top>
      <bottom style="hair">
        <color indexed="23"/>
      </bottom>
      <diagonal/>
    </border>
    <border>
      <left style="thin">
        <color indexed="8"/>
      </left>
      <right style="thin">
        <color indexed="8"/>
      </right>
      <top style="thin">
        <color indexed="8"/>
      </top>
      <bottom style="thin">
        <color indexed="8"/>
      </bottom>
      <diagonal/>
    </border>
    <border>
      <left style="hair">
        <color indexed="22"/>
      </left>
      <right style="hair">
        <color indexed="22"/>
      </right>
      <top style="thin">
        <color indexed="23"/>
      </top>
      <bottom style="thin">
        <color indexed="2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134">
    <xf numFmtId="0" fontId="0"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xf numFmtId="0" fontId="7" fillId="0" borderId="0"/>
    <xf numFmtId="0" fontId="5" fillId="0" borderId="0"/>
    <xf numFmtId="0" fontId="8" fillId="0" borderId="0" applyNumberFormat="0" applyFill="0" applyBorder="0" applyAlignment="0" applyProtection="0">
      <alignment vertical="top"/>
      <protection locked="0"/>
    </xf>
    <xf numFmtId="0" fontId="7" fillId="0" borderId="0"/>
    <xf numFmtId="0" fontId="4" fillId="0" borderId="0"/>
    <xf numFmtId="0" fontId="7" fillId="0" borderId="0"/>
    <xf numFmtId="0" fontId="4" fillId="0" borderId="0"/>
    <xf numFmtId="0" fontId="7" fillId="0" borderId="0"/>
    <xf numFmtId="0" fontId="4" fillId="0" borderId="0"/>
    <xf numFmtId="0" fontId="7" fillId="0" borderId="0"/>
    <xf numFmtId="0" fontId="4" fillId="0" borderId="0"/>
    <xf numFmtId="0" fontId="4" fillId="0" borderId="0"/>
    <xf numFmtId="0" fontId="7" fillId="0" borderId="0"/>
    <xf numFmtId="0" fontId="7" fillId="0" borderId="0"/>
    <xf numFmtId="0" fontId="7" fillId="0" borderId="0"/>
    <xf numFmtId="0" fontId="4" fillId="0" borderId="0"/>
    <xf numFmtId="0" fontId="4" fillId="0" borderId="0"/>
    <xf numFmtId="0" fontId="24" fillId="18" borderId="0" applyNumberFormat="0" applyBorder="0" applyAlignment="0" applyProtection="0"/>
    <xf numFmtId="0" fontId="24" fillId="7" borderId="0" applyNumberFormat="0" applyBorder="0" applyAlignment="0" applyProtection="0"/>
    <xf numFmtId="0" fontId="25" fillId="11" borderId="0" applyNumberFormat="0" applyBorder="0" applyAlignment="0" applyProtection="0"/>
    <xf numFmtId="0" fontId="3" fillId="0" borderId="0"/>
    <xf numFmtId="0" fontId="25" fillId="13" borderId="0" applyNumberFormat="0" applyBorder="0" applyAlignment="0" applyProtection="0"/>
    <xf numFmtId="0" fontId="3" fillId="0" borderId="0"/>
    <xf numFmtId="0" fontId="25" fillId="18" borderId="0" applyNumberFormat="0" applyBorder="0" applyAlignment="0" applyProtection="0"/>
    <xf numFmtId="0" fontId="3" fillId="0" borderId="0"/>
    <xf numFmtId="0" fontId="25" fillId="14" borderId="0" applyNumberFormat="0" applyBorder="0" applyAlignment="0" applyProtection="0"/>
    <xf numFmtId="0" fontId="3" fillId="0" borderId="0"/>
    <xf numFmtId="0" fontId="3" fillId="0" borderId="0"/>
    <xf numFmtId="0" fontId="25" fillId="13" borderId="0" applyNumberFormat="0" applyBorder="0" applyAlignment="0" applyProtection="0"/>
    <xf numFmtId="0" fontId="25" fillId="11" borderId="0" applyNumberFormat="0" applyBorder="0" applyAlignment="0" applyProtection="0"/>
    <xf numFmtId="0" fontId="3" fillId="0" borderId="0"/>
    <xf numFmtId="0" fontId="3" fillId="0" borderId="0"/>
    <xf numFmtId="0" fontId="7" fillId="0" borderId="0"/>
    <xf numFmtId="0" fontId="15" fillId="0" borderId="0"/>
    <xf numFmtId="0" fontId="24" fillId="14"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1" borderId="0" applyNumberFormat="0" applyBorder="0" applyAlignment="0" applyProtection="0"/>
    <xf numFmtId="0" fontId="24" fillId="17" borderId="0" applyNumberFormat="0" applyBorder="0" applyAlignment="0" applyProtection="0"/>
    <xf numFmtId="0" fontId="24" fillId="7" borderId="0" applyNumberFormat="0" applyBorder="0" applyAlignment="0" applyProtection="0"/>
    <xf numFmtId="0" fontId="24" fillId="23" borderId="0" applyNumberFormat="0" applyBorder="0" applyAlignment="0" applyProtection="0"/>
    <xf numFmtId="0" fontId="24" fillId="17" borderId="0" applyNumberFormat="0" applyBorder="0" applyAlignment="0" applyProtection="0"/>
    <xf numFmtId="0" fontId="24" fillId="13" borderId="0" applyNumberFormat="0" applyBorder="0" applyAlignment="0" applyProtection="0"/>
    <xf numFmtId="0" fontId="24" fillId="7"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5" borderId="0" applyNumberFormat="0" applyBorder="0" applyAlignment="0" applyProtection="0"/>
    <xf numFmtId="0" fontId="26" fillId="10" borderId="0" applyNumberFormat="0" applyBorder="0" applyAlignment="0" applyProtection="0"/>
    <xf numFmtId="0" fontId="27" fillId="29" borderId="19" applyNumberFormat="0" applyAlignment="0" applyProtection="0"/>
    <xf numFmtId="0" fontId="28" fillId="30" borderId="20" applyNumberFormat="0" applyAlignment="0" applyProtection="0"/>
    <xf numFmtId="0" fontId="29" fillId="0" borderId="0" applyNumberFormat="0" applyFill="0" applyBorder="0" applyAlignment="0" applyProtection="0"/>
    <xf numFmtId="0" fontId="30" fillId="31" borderId="0" applyNumberFormat="0" applyBorder="0" applyAlignment="0" applyProtection="0"/>
    <xf numFmtId="0" fontId="31" fillId="0" borderId="21" applyNumberFormat="0" applyFill="0" applyAlignment="0" applyProtection="0"/>
    <xf numFmtId="0" fontId="32" fillId="0" borderId="22" applyNumberFormat="0" applyFill="0" applyAlignment="0" applyProtection="0"/>
    <xf numFmtId="0" fontId="33" fillId="0" borderId="23" applyNumberFormat="0" applyFill="0" applyAlignment="0" applyProtection="0"/>
    <xf numFmtId="0" fontId="33" fillId="0" borderId="0" applyNumberFormat="0" applyFill="0" applyBorder="0" applyAlignment="0" applyProtection="0"/>
    <xf numFmtId="0" fontId="34" fillId="18" borderId="19" applyNumberFormat="0" applyAlignment="0" applyProtection="0"/>
    <xf numFmtId="0" fontId="35" fillId="0" borderId="24" applyNumberFormat="0" applyFill="0" applyAlignment="0" applyProtection="0"/>
    <xf numFmtId="0" fontId="36" fillId="18" borderId="0" applyNumberFormat="0" applyBorder="0" applyAlignment="0" applyProtection="0"/>
    <xf numFmtId="0" fontId="7" fillId="17" borderId="25" applyNumberFormat="0" applyFont="0" applyAlignment="0" applyProtection="0"/>
    <xf numFmtId="0" fontId="37" fillId="29" borderId="26" applyNumberFormat="0" applyAlignment="0" applyProtection="0"/>
    <xf numFmtId="0" fontId="38" fillId="0" borderId="0" applyNumberFormat="0" applyFill="0" applyBorder="0" applyAlignment="0" applyProtection="0"/>
    <xf numFmtId="0" fontId="39" fillId="0" borderId="27" applyNumberFormat="0" applyFill="0" applyAlignment="0" applyProtection="0"/>
    <xf numFmtId="0" fontId="35" fillId="0" borderId="0" applyNumberFormat="0" applyFill="0" applyBorder="0" applyAlignment="0" applyProtection="0"/>
    <xf numFmtId="0" fontId="24" fillId="7" borderId="0" applyNumberFormat="0" applyBorder="0" applyAlignment="0" applyProtection="0"/>
    <xf numFmtId="0" fontId="24" fillId="13" borderId="0" applyNumberFormat="0" applyBorder="0" applyAlignment="0" applyProtection="0"/>
    <xf numFmtId="0" fontId="24" fillId="23" borderId="0" applyNumberFormat="0" applyBorder="0" applyAlignment="0" applyProtection="0"/>
    <xf numFmtId="0" fontId="24" fillId="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8" borderId="0" applyNumberFormat="0" applyBorder="0" applyAlignment="0" applyProtection="0"/>
    <xf numFmtId="0" fontId="24" fillId="23" borderId="0" applyNumberFormat="0" applyBorder="0" applyAlignment="0" applyProtection="0"/>
    <xf numFmtId="0" fontId="24" fillId="31" borderId="0" applyNumberFormat="0" applyBorder="0" applyAlignment="0" applyProtection="0"/>
    <xf numFmtId="0" fontId="24" fillId="10" borderId="0" applyNumberFormat="0" applyBorder="0" applyAlignment="0" applyProtection="0"/>
    <xf numFmtId="0" fontId="24" fillId="32" borderId="0" applyNumberFormat="0" applyBorder="0" applyAlignment="0" applyProtection="0"/>
    <xf numFmtId="0" fontId="24" fillId="7" borderId="0" applyNumberFormat="0" applyBorder="0" applyAlignment="0" applyProtection="0"/>
    <xf numFmtId="0" fontId="24" fillId="11" borderId="0" applyNumberFormat="0" applyBorder="0" applyAlignment="0" applyProtection="0"/>
    <xf numFmtId="0" fontId="24" fillId="13" borderId="0" applyNumberFormat="0" applyBorder="0" applyAlignment="0" applyProtection="0"/>
    <xf numFmtId="0" fontId="24" fillId="18" borderId="0" applyNumberFormat="0" applyBorder="0" applyAlignment="0" applyProtection="0"/>
    <xf numFmtId="0" fontId="24" fillId="14" borderId="0" applyNumberFormat="0" applyBorder="0" applyAlignment="0" applyProtection="0"/>
    <xf numFmtId="0" fontId="24" fillId="7" borderId="0" applyNumberFormat="0" applyBorder="0" applyAlignment="0" applyProtection="0"/>
    <xf numFmtId="0" fontId="24" fillId="18" borderId="0" applyNumberFormat="0" applyBorder="0" applyAlignment="0" applyProtection="0"/>
    <xf numFmtId="0" fontId="24" fillId="9" borderId="0" applyNumberFormat="0" applyBorder="0" applyAlignment="0" applyProtection="0"/>
    <xf numFmtId="0" fontId="24" fillId="33" borderId="0" applyNumberFormat="0" applyBorder="0" applyAlignment="0" applyProtection="0"/>
    <xf numFmtId="0" fontId="24" fillId="10" borderId="0" applyNumberFormat="0" applyBorder="0" applyAlignment="0" applyProtection="0"/>
    <xf numFmtId="0" fontId="24" fillId="9" borderId="0" applyNumberFormat="0" applyBorder="0" applyAlignment="0" applyProtection="0"/>
    <xf numFmtId="0" fontId="24" fillId="11" borderId="0" applyNumberFormat="0" applyBorder="0" applyAlignment="0" applyProtection="0"/>
    <xf numFmtId="0" fontId="25" fillId="11" borderId="0" applyNumberFormat="0" applyBorder="0" applyAlignment="0" applyProtection="0"/>
    <xf numFmtId="0" fontId="25" fillId="13" borderId="0" applyNumberFormat="0" applyBorder="0" applyAlignment="0" applyProtection="0"/>
    <xf numFmtId="0" fontId="25" fillId="18"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3" borderId="0" applyNumberFormat="0" applyBorder="0" applyAlignment="0" applyProtection="0"/>
    <xf numFmtId="0" fontId="25" fillId="12" borderId="0" applyNumberFormat="0" applyBorder="0" applyAlignment="0" applyProtection="0"/>
    <xf numFmtId="0" fontId="25" fillId="33" borderId="0" applyNumberFormat="0" applyBorder="0" applyAlignment="0" applyProtection="0"/>
    <xf numFmtId="0" fontId="25" fillId="16" borderId="0" applyNumberFormat="0" applyBorder="0" applyAlignment="0" applyProtection="0"/>
    <xf numFmtId="0" fontId="25" fillId="28" borderId="0" applyNumberFormat="0" applyBorder="0" applyAlignment="0" applyProtection="0"/>
    <xf numFmtId="0" fontId="25" fillId="2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34" borderId="0" applyNumberFormat="0" applyBorder="0" applyAlignment="0" applyProtection="0"/>
    <xf numFmtId="171" fontId="7" fillId="20" borderId="32">
      <alignment horizontal="center" vertical="center"/>
    </xf>
    <xf numFmtId="0" fontId="35" fillId="0" borderId="0" applyNumberFormat="0" applyFill="0" applyBorder="0" applyAlignment="0" applyProtection="0"/>
    <xf numFmtId="0" fontId="26" fillId="23" borderId="0" applyNumberFormat="0" applyBorder="0" applyAlignment="0" applyProtection="0"/>
    <xf numFmtId="3" fontId="41" fillId="0" borderId="0"/>
    <xf numFmtId="0" fontId="27" fillId="29" borderId="19" applyNumberFormat="0" applyAlignment="0" applyProtection="0"/>
    <xf numFmtId="0" fontId="27" fillId="29" borderId="19" applyNumberFormat="0" applyAlignment="0" applyProtection="0"/>
    <xf numFmtId="0" fontId="27" fillId="29" borderId="19" applyNumberFormat="0" applyAlignment="0" applyProtection="0"/>
    <xf numFmtId="0" fontId="59" fillId="14" borderId="19" applyNumberFormat="0" applyAlignment="0" applyProtection="0"/>
    <xf numFmtId="0" fontId="59" fillId="14" borderId="19" applyNumberFormat="0" applyAlignment="0" applyProtection="0"/>
    <xf numFmtId="0" fontId="35" fillId="0" borderId="24" applyNumberFormat="0" applyFill="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7" fillId="17" borderId="25" applyNumberFormat="0" applyFont="0" applyAlignment="0" applyProtection="0"/>
    <xf numFmtId="0" fontId="7" fillId="17" borderId="25" applyNumberFormat="0" applyFont="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2" fontId="47" fillId="0" borderId="0">
      <protection locked="0"/>
    </xf>
    <xf numFmtId="0" fontId="34" fillId="18" borderId="19" applyNumberFormat="0" applyAlignment="0" applyProtection="0"/>
    <xf numFmtId="0" fontId="34" fillId="18" borderId="19" applyNumberFormat="0" applyAlignment="0" applyProtection="0"/>
    <xf numFmtId="170" fontId="46" fillId="0" borderId="0"/>
    <xf numFmtId="173" fontId="7" fillId="0" borderId="0">
      <protection locked="0"/>
    </xf>
    <xf numFmtId="38" fontId="18" fillId="19" borderId="0" applyNumberFormat="0" applyBorder="0" applyAlignment="0" applyProtection="0"/>
    <xf numFmtId="0" fontId="48" fillId="0" borderId="0" applyNumberFormat="0" applyFill="0" applyBorder="0" applyAlignment="0" applyProtection="0"/>
    <xf numFmtId="0" fontId="22" fillId="0" borderId="30" applyNumberFormat="0" applyAlignment="0" applyProtection="0">
      <alignment horizontal="left" vertical="center"/>
    </xf>
    <xf numFmtId="0" fontId="22" fillId="0" borderId="29">
      <alignment horizontal="left" vertical="center"/>
    </xf>
    <xf numFmtId="0" fontId="22" fillId="0" borderId="29">
      <alignment horizontal="left" vertical="center"/>
    </xf>
    <xf numFmtId="0" fontId="22" fillId="0" borderId="29">
      <alignment horizontal="left" vertical="center"/>
    </xf>
    <xf numFmtId="0" fontId="19" fillId="0" borderId="15" applyNumberFormat="0" applyFill="0" applyAlignment="0" applyProtection="0"/>
    <xf numFmtId="0" fontId="60" fillId="0" borderId="33" applyNumberFormat="0" applyFill="0" applyAlignment="0" applyProtection="0"/>
    <xf numFmtId="0" fontId="20" fillId="0" borderId="16" applyNumberFormat="0" applyFill="0" applyAlignment="0" applyProtection="0"/>
    <xf numFmtId="0" fontId="20" fillId="0" borderId="0" applyNumberFormat="0" applyFill="0" applyBorder="0" applyAlignment="0" applyProtection="0"/>
    <xf numFmtId="174" fontId="7" fillId="0" borderId="0">
      <protection locked="0"/>
    </xf>
    <xf numFmtId="174" fontId="7" fillId="0" borderId="0">
      <protection locked="0"/>
    </xf>
    <xf numFmtId="0" fontId="40" fillId="0" borderId="34" applyNumberFormat="0" applyFill="0" applyAlignment="0" applyProtection="0"/>
    <xf numFmtId="0" fontId="8" fillId="0" borderId="0" applyNumberFormat="0" applyFill="0" applyBorder="0" applyAlignment="0" applyProtection="0">
      <alignment vertical="top"/>
      <protection locked="0"/>
    </xf>
    <xf numFmtId="0" fontId="63" fillId="0" borderId="0" applyNumberForma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10" fontId="18" fillId="35" borderId="28" applyNumberFormat="0" applyBorder="0" applyAlignment="0" applyProtection="0"/>
    <xf numFmtId="10" fontId="18" fillId="35" borderId="28" applyNumberFormat="0" applyBorder="0" applyAlignment="0" applyProtection="0"/>
    <xf numFmtId="10" fontId="18" fillId="35" borderId="28" applyNumberFormat="0" applyBorder="0" applyAlignment="0" applyProtection="0"/>
    <xf numFmtId="10" fontId="18" fillId="35" borderId="28" applyNumberFormat="0" applyBorder="0" applyAlignment="0" applyProtection="0"/>
    <xf numFmtId="10" fontId="18" fillId="35" borderId="28" applyNumberFormat="0" applyBorder="0" applyAlignment="0" applyProtection="0"/>
    <xf numFmtId="10" fontId="18" fillId="35" borderId="28" applyNumberFormat="0" applyBorder="0" applyAlignment="0" applyProtection="0"/>
    <xf numFmtId="10" fontId="18" fillId="35" borderId="28" applyNumberFormat="0" applyBorder="0" applyAlignment="0" applyProtection="0"/>
    <xf numFmtId="10" fontId="18" fillId="35" borderId="28" applyNumberFormat="0" applyBorder="0" applyAlignment="0" applyProtection="0"/>
    <xf numFmtId="10" fontId="18" fillId="35" borderId="28" applyNumberFormat="0" applyBorder="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18" borderId="19" applyNumberFormat="0" applyAlignment="0" applyProtection="0"/>
    <xf numFmtId="0" fontId="34" fillId="7" borderId="19" applyNumberFormat="0" applyAlignment="0" applyProtection="0"/>
    <xf numFmtId="0" fontId="34" fillId="7" borderId="19" applyNumberFormat="0" applyAlignment="0" applyProtection="0"/>
    <xf numFmtId="0" fontId="34" fillId="18" borderId="19" applyNumberFormat="0" applyAlignment="0" applyProtection="0"/>
    <xf numFmtId="0" fontId="34" fillId="18"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26" fillId="10" borderId="0" applyNumberFormat="0" applyBorder="0" applyAlignment="0" applyProtection="0"/>
    <xf numFmtId="0" fontId="61" fillId="0" borderId="35" applyNumberFormat="0" applyFill="0" applyAlignment="0" applyProtection="0"/>
    <xf numFmtId="43" fontId="24" fillId="0" borderId="0" applyFont="0" applyFill="0" applyBorder="0" applyAlignment="0" applyProtection="0"/>
    <xf numFmtId="0" fontId="62" fillId="18" borderId="0" applyNumberFormat="0" applyBorder="0" applyAlignment="0" applyProtection="0"/>
    <xf numFmtId="0" fontId="36" fillId="18" borderId="0" applyNumberFormat="0" applyBorder="0" applyAlignment="0" applyProtection="0"/>
    <xf numFmtId="37" fontId="49" fillId="0" borderId="0"/>
    <xf numFmtId="175" fontId="7" fillId="0" borderId="0"/>
    <xf numFmtId="0" fontId="3"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3" fillId="0" borderId="0"/>
    <xf numFmtId="0" fontId="24" fillId="0" borderId="0"/>
    <xf numFmtId="0" fontId="7" fillId="0" borderId="0"/>
    <xf numFmtId="0" fontId="7" fillId="0" borderId="0"/>
    <xf numFmtId="0" fontId="7" fillId="0" borderId="0"/>
    <xf numFmtId="0" fontId="7" fillId="0" borderId="0"/>
    <xf numFmtId="0" fontId="3" fillId="0" borderId="0"/>
    <xf numFmtId="0" fontId="7" fillId="0" borderId="0"/>
    <xf numFmtId="0" fontId="24" fillId="0" borderId="0"/>
    <xf numFmtId="0" fontId="24" fillId="0" borderId="0"/>
    <xf numFmtId="0" fontId="24" fillId="0" borderId="0"/>
    <xf numFmtId="0" fontId="24" fillId="0" borderId="0"/>
    <xf numFmtId="0" fontId="3" fillId="0" borderId="0"/>
    <xf numFmtId="0" fontId="24" fillId="0" borderId="0"/>
    <xf numFmtId="0" fontId="23" fillId="0" borderId="0"/>
    <xf numFmtId="0" fontId="7" fillId="0" borderId="0"/>
    <xf numFmtId="0" fontId="23" fillId="0" borderId="0"/>
    <xf numFmtId="0" fontId="17" fillId="0" borderId="0"/>
    <xf numFmtId="0" fontId="24" fillId="0" borderId="0"/>
    <xf numFmtId="0" fontId="7" fillId="0" borderId="0"/>
    <xf numFmtId="0" fontId="23" fillId="0" borderId="0"/>
    <xf numFmtId="0" fontId="7" fillId="0" borderId="0"/>
    <xf numFmtId="0" fontId="7" fillId="0" borderId="0"/>
    <xf numFmtId="0" fontId="7" fillId="0" borderId="0"/>
    <xf numFmtId="0" fontId="7" fillId="0" borderId="0"/>
    <xf numFmtId="0" fontId="3" fillId="0" borderId="0"/>
    <xf numFmtId="0" fontId="24" fillId="0" borderId="0"/>
    <xf numFmtId="0" fontId="24" fillId="0" borderId="0"/>
    <xf numFmtId="0" fontId="3" fillId="0" borderId="0"/>
    <xf numFmtId="0" fontId="24" fillId="0" borderId="0"/>
    <xf numFmtId="0" fontId="24" fillId="0" borderId="0"/>
    <xf numFmtId="0" fontId="3" fillId="0" borderId="0"/>
    <xf numFmtId="0" fontId="24" fillId="0" borderId="0"/>
    <xf numFmtId="0" fontId="7" fillId="0" borderId="0"/>
    <xf numFmtId="0" fontId="3" fillId="0" borderId="0"/>
    <xf numFmtId="0" fontId="7" fillId="0" borderId="0"/>
    <xf numFmtId="0" fontId="7" fillId="0" borderId="0"/>
    <xf numFmtId="0" fontId="17" fillId="0" borderId="0"/>
    <xf numFmtId="0" fontId="24" fillId="0" borderId="0"/>
    <xf numFmtId="0" fontId="7" fillId="0" borderId="0"/>
    <xf numFmtId="0" fontId="7" fillId="0" borderId="0"/>
    <xf numFmtId="0" fontId="7" fillId="0" borderId="0"/>
    <xf numFmtId="0" fontId="3" fillId="0" borderId="0"/>
    <xf numFmtId="0" fontId="7" fillId="0" borderId="0"/>
    <xf numFmtId="0" fontId="3" fillId="0" borderId="0"/>
    <xf numFmtId="0" fontId="7" fillId="0" borderId="0"/>
    <xf numFmtId="0" fontId="3" fillId="0" borderId="0"/>
    <xf numFmtId="0" fontId="3" fillId="0" borderId="0"/>
    <xf numFmtId="0" fontId="7" fillId="0" borderId="0"/>
    <xf numFmtId="0" fontId="3" fillId="0" borderId="0"/>
    <xf numFmtId="0" fontId="3" fillId="0" borderId="0"/>
    <xf numFmtId="0" fontId="7" fillId="0" borderId="0"/>
    <xf numFmtId="0" fontId="3" fillId="0" borderId="0"/>
    <xf numFmtId="0" fontId="3" fillId="0" borderId="0"/>
    <xf numFmtId="0" fontId="7" fillId="0" borderId="0"/>
    <xf numFmtId="0" fontId="3" fillId="0" borderId="0"/>
    <xf numFmtId="0" fontId="3" fillId="0" borderId="0"/>
    <xf numFmtId="0" fontId="7" fillId="0" borderId="0"/>
    <xf numFmtId="0" fontId="3" fillId="0" borderId="0"/>
    <xf numFmtId="0" fontId="3" fillId="0" borderId="0"/>
    <xf numFmtId="0" fontId="7" fillId="0" borderId="0"/>
    <xf numFmtId="0" fontId="3" fillId="0" borderId="0"/>
    <xf numFmtId="0" fontId="3" fillId="0" borderId="0"/>
    <xf numFmtId="0" fontId="7" fillId="0" borderId="0"/>
    <xf numFmtId="0" fontId="17" fillId="0" borderId="0"/>
    <xf numFmtId="0" fontId="3" fillId="0" borderId="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3" fillId="0" borderId="0"/>
    <xf numFmtId="0" fontId="17" fillId="0" borderId="0"/>
    <xf numFmtId="0" fontId="3" fillId="0" borderId="0"/>
    <xf numFmtId="0" fontId="24" fillId="0" borderId="0"/>
    <xf numFmtId="0" fontId="3" fillId="0" borderId="0"/>
    <xf numFmtId="0" fontId="24" fillId="0" borderId="0"/>
    <xf numFmtId="0" fontId="24" fillId="0" borderId="0"/>
    <xf numFmtId="0" fontId="7" fillId="0" borderId="0"/>
    <xf numFmtId="0" fontId="24"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7" fillId="0" borderId="0"/>
    <xf numFmtId="0" fontId="7" fillId="0" borderId="0"/>
    <xf numFmtId="0" fontId="17" fillId="0" borderId="0"/>
    <xf numFmtId="0" fontId="3"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17" fillId="0" borderId="0"/>
    <xf numFmtId="0" fontId="7" fillId="0" borderId="0"/>
    <xf numFmtId="0" fontId="24"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7" fillId="0" borderId="0"/>
    <xf numFmtId="0" fontId="7" fillId="0" borderId="0"/>
    <xf numFmtId="0" fontId="3" fillId="0" borderId="0"/>
    <xf numFmtId="0" fontId="1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7" borderId="25" applyNumberFormat="0" applyFont="0" applyAlignment="0" applyProtection="0"/>
    <xf numFmtId="0" fontId="7" fillId="17" borderId="25" applyNumberFormat="0" applyFont="0" applyAlignment="0" applyProtection="0"/>
    <xf numFmtId="0" fontId="7" fillId="17" borderId="25" applyNumberFormat="0" applyFont="0" applyAlignment="0" applyProtection="0"/>
    <xf numFmtId="0" fontId="37" fillId="29" borderId="26" applyNumberFormat="0" applyAlignment="0" applyProtection="0"/>
    <xf numFmtId="0" fontId="37" fillId="14" borderId="26" applyNumberFormat="0" applyAlignment="0" applyProtection="0"/>
    <xf numFmtId="40" fontId="42" fillId="4" borderId="0">
      <alignment horizontal="right"/>
    </xf>
    <xf numFmtId="0" fontId="43" fillId="4" borderId="0">
      <alignment horizontal="right"/>
    </xf>
    <xf numFmtId="0" fontId="44" fillId="4" borderId="31"/>
    <xf numFmtId="0" fontId="44" fillId="0" borderId="0" applyBorder="0">
      <alignment horizontal="centerContinuous"/>
    </xf>
    <xf numFmtId="0" fontId="45" fillId="0" borderId="0" applyBorder="0">
      <alignment horizontal="centerContinuous"/>
    </xf>
    <xf numFmtId="9" fontId="7" fillId="0" borderId="0" applyFont="0" applyFill="0" applyBorder="0" applyAlignment="0" applyProtection="0"/>
    <xf numFmtId="10" fontId="7"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0" fontId="51" fillId="0" borderId="36" applyNumberFormat="0" applyFont="0" applyFill="0" applyAlignment="0" applyProtection="0"/>
    <xf numFmtId="0" fontId="51" fillId="0" borderId="36" applyNumberFormat="0" applyFont="0" applyFill="0" applyAlignment="0" applyProtection="0"/>
    <xf numFmtId="176" fontId="52" fillId="0" borderId="37" applyNumberFormat="0" applyAlignment="0" applyProtection="0">
      <alignment horizontal="right" vertical="center" indent="1"/>
    </xf>
    <xf numFmtId="176" fontId="53" fillId="36" borderId="38" applyNumberFormat="0" applyAlignment="0" applyProtection="0">
      <alignment horizontal="right" vertical="center" indent="1"/>
    </xf>
    <xf numFmtId="0" fontId="53" fillId="6" borderId="19" applyNumberFormat="0" applyAlignment="0" applyProtection="0">
      <alignment horizontal="left" vertical="center" indent="1"/>
    </xf>
    <xf numFmtId="0" fontId="53" fillId="6" borderId="19" applyNumberFormat="0" applyAlignment="0" applyProtection="0">
      <alignment horizontal="left" vertical="center" indent="1"/>
    </xf>
    <xf numFmtId="176" fontId="52" fillId="37" borderId="19" applyNumberFormat="0" applyAlignment="0" applyProtection="0">
      <alignment horizontal="left" vertical="center" indent="1"/>
    </xf>
    <xf numFmtId="176" fontId="52" fillId="37" borderId="19" applyNumberFormat="0" applyAlignment="0" applyProtection="0">
      <alignment horizontal="left" vertical="center" indent="1"/>
    </xf>
    <xf numFmtId="0" fontId="52" fillId="37" borderId="19" applyNumberFormat="0" applyAlignment="0" applyProtection="0">
      <alignment horizontal="left" vertical="center" indent="1"/>
    </xf>
    <xf numFmtId="0" fontId="52" fillId="37" borderId="19" applyNumberFormat="0" applyAlignment="0" applyProtection="0">
      <alignment horizontal="left" vertical="center" indent="1"/>
    </xf>
    <xf numFmtId="0" fontId="54" fillId="0" borderId="39" applyNumberFormat="0" applyFill="0" applyBorder="0" applyAlignment="0" applyProtection="0"/>
    <xf numFmtId="0" fontId="54" fillId="0" borderId="39" applyNumberFormat="0" applyFill="0" applyBorder="0" applyAlignment="0" applyProtection="0"/>
    <xf numFmtId="176" fontId="54" fillId="37" borderId="19" applyNumberFormat="0" applyAlignment="0" applyProtection="0">
      <alignment horizontal="left" vertical="center" indent="1"/>
    </xf>
    <xf numFmtId="176" fontId="54" fillId="37" borderId="19" applyNumberFormat="0" applyAlignment="0" applyProtection="0">
      <alignment horizontal="left" vertical="center" indent="1"/>
    </xf>
    <xf numFmtId="0" fontId="54" fillId="37" borderId="19" applyNumberFormat="0" applyAlignment="0" applyProtection="0">
      <alignment horizontal="left" vertical="center" indent="1"/>
    </xf>
    <xf numFmtId="0" fontId="54" fillId="37" borderId="19" applyNumberFormat="0" applyAlignment="0" applyProtection="0">
      <alignment horizontal="left" vertical="center" indent="1"/>
    </xf>
    <xf numFmtId="176" fontId="54" fillId="38" borderId="37" applyNumberFormat="0" applyBorder="0" applyAlignment="0" applyProtection="0">
      <alignment horizontal="right" vertical="center" indent="1"/>
    </xf>
    <xf numFmtId="176" fontId="55" fillId="38" borderId="38" applyNumberFormat="0" applyAlignment="0" applyProtection="0">
      <alignment horizontal="right" vertical="center" indent="1"/>
    </xf>
    <xf numFmtId="0" fontId="54" fillId="37" borderId="19" applyNumberFormat="0" applyAlignment="0" applyProtection="0">
      <alignment horizontal="left" vertical="center" indent="1"/>
    </xf>
    <xf numFmtId="0" fontId="54" fillId="37" borderId="19" applyNumberFormat="0" applyAlignment="0" applyProtection="0">
      <alignment horizontal="left" vertical="center" indent="1"/>
    </xf>
    <xf numFmtId="176" fontId="55" fillId="36" borderId="38" applyNumberFormat="0" applyAlignment="0" applyProtection="0">
      <alignment horizontal="right" vertical="center" indent="1"/>
    </xf>
    <xf numFmtId="176" fontId="55" fillId="36" borderId="38" applyNumberFormat="0" applyAlignment="0" applyProtection="0">
      <alignment horizontal="right" vertical="center" indent="1"/>
    </xf>
    <xf numFmtId="176" fontId="56" fillId="39" borderId="40" applyNumberFormat="0" applyBorder="0" applyAlignment="0" applyProtection="0">
      <alignment horizontal="right" vertical="center" indent="1"/>
    </xf>
    <xf numFmtId="176" fontId="56" fillId="39" borderId="40" applyNumberFormat="0" applyBorder="0" applyAlignment="0" applyProtection="0">
      <alignment horizontal="right" vertical="center" indent="1"/>
    </xf>
    <xf numFmtId="176" fontId="56" fillId="40" borderId="40" applyNumberFormat="0" applyBorder="0" applyAlignment="0" applyProtection="0">
      <alignment horizontal="right" vertical="center" indent="1"/>
    </xf>
    <xf numFmtId="176" fontId="56" fillId="40" borderId="40" applyNumberFormat="0" applyBorder="0" applyAlignment="0" applyProtection="0">
      <alignment horizontal="right" vertical="center" indent="1"/>
    </xf>
    <xf numFmtId="176" fontId="56" fillId="40" borderId="40" applyNumberFormat="0" applyBorder="0" applyAlignment="0" applyProtection="0">
      <alignment horizontal="right" vertical="center" indent="1"/>
    </xf>
    <xf numFmtId="176" fontId="56" fillId="40" borderId="40" applyNumberFormat="0" applyBorder="0" applyAlignment="0" applyProtection="0">
      <alignment horizontal="right" vertical="center" indent="1"/>
    </xf>
    <xf numFmtId="176" fontId="57" fillId="41" borderId="40" applyNumberFormat="0" applyBorder="0" applyAlignment="0" applyProtection="0">
      <alignment horizontal="right" vertical="center" indent="1"/>
    </xf>
    <xf numFmtId="176" fontId="57" fillId="41" borderId="40" applyNumberFormat="0" applyBorder="0" applyAlignment="0" applyProtection="0">
      <alignment horizontal="right" vertical="center" indent="1"/>
    </xf>
    <xf numFmtId="176" fontId="57" fillId="42" borderId="40" applyNumberFormat="0" applyBorder="0" applyAlignment="0" applyProtection="0">
      <alignment horizontal="right" vertical="center" indent="1"/>
    </xf>
    <xf numFmtId="176" fontId="57" fillId="42" borderId="40" applyNumberFormat="0" applyBorder="0" applyAlignment="0" applyProtection="0">
      <alignment horizontal="right" vertical="center" indent="1"/>
    </xf>
    <xf numFmtId="176" fontId="57" fillId="22" borderId="40" applyNumberFormat="0" applyBorder="0" applyAlignment="0" applyProtection="0">
      <alignment horizontal="right" vertical="center" indent="1"/>
    </xf>
    <xf numFmtId="176" fontId="57" fillId="22" borderId="40" applyNumberFormat="0" applyBorder="0" applyAlignment="0" applyProtection="0">
      <alignment horizontal="right" vertical="center" indent="1"/>
    </xf>
    <xf numFmtId="176" fontId="58" fillId="43" borderId="40" applyNumberFormat="0" applyBorder="0" applyAlignment="0" applyProtection="0">
      <alignment horizontal="right" vertical="center" indent="1"/>
    </xf>
    <xf numFmtId="176" fontId="58" fillId="43" borderId="40" applyNumberFormat="0" applyBorder="0" applyAlignment="0" applyProtection="0">
      <alignment horizontal="right" vertical="center" indent="1"/>
    </xf>
    <xf numFmtId="176" fontId="58" fillId="22" borderId="40" applyNumberFormat="0" applyBorder="0" applyAlignment="0" applyProtection="0">
      <alignment horizontal="right" vertical="center" indent="1"/>
    </xf>
    <xf numFmtId="176" fontId="58" fillId="22" borderId="40" applyNumberFormat="0" applyBorder="0" applyAlignment="0" applyProtection="0">
      <alignment horizontal="right" vertical="center" indent="1"/>
    </xf>
    <xf numFmtId="176" fontId="58" fillId="22" borderId="40" applyNumberFormat="0" applyBorder="0" applyAlignment="0" applyProtection="0">
      <alignment horizontal="right" vertical="center" indent="1"/>
    </xf>
    <xf numFmtId="176" fontId="58" fillId="22" borderId="40" applyNumberFormat="0" applyBorder="0" applyAlignment="0" applyProtection="0">
      <alignment horizontal="right" vertical="center" indent="1"/>
    </xf>
    <xf numFmtId="0" fontId="52" fillId="6" borderId="38" applyNumberFormat="0" applyAlignment="0" applyProtection="0">
      <alignment horizontal="left" vertical="center" indent="1"/>
    </xf>
    <xf numFmtId="0" fontId="52" fillId="44" borderId="19" applyNumberFormat="0" applyAlignment="0" applyProtection="0">
      <alignment horizontal="left" vertical="center" indent="1"/>
    </xf>
    <xf numFmtId="0" fontId="52" fillId="44"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7" borderId="19" applyNumberFormat="0" applyAlignment="0" applyProtection="0">
      <alignment horizontal="left" vertical="center" indent="1"/>
    </xf>
    <xf numFmtId="0" fontId="52" fillId="37" borderId="19" applyNumberFormat="0" applyAlignment="0" applyProtection="0">
      <alignment horizontal="left" vertical="center" indent="1"/>
    </xf>
    <xf numFmtId="0" fontId="52" fillId="4" borderId="38" applyNumberFormat="0" applyAlignment="0" applyProtection="0">
      <alignment horizontal="left" vertical="center" indent="1"/>
    </xf>
    <xf numFmtId="176" fontId="52" fillId="38" borderId="37" applyNumberFormat="0" applyBorder="0" applyAlignment="0" applyProtection="0">
      <alignment horizontal="right" vertical="center" indent="1"/>
    </xf>
    <xf numFmtId="176" fontId="53" fillId="38" borderId="38" applyNumberFormat="0" applyAlignment="0" applyProtection="0">
      <alignment horizontal="right" vertical="center" indent="1"/>
    </xf>
    <xf numFmtId="176" fontId="52" fillId="6" borderId="36" applyNumberFormat="0" applyAlignment="0" applyProtection="0">
      <alignment horizontal="left" vertical="center" indent="1"/>
    </xf>
    <xf numFmtId="176" fontId="52" fillId="6" borderId="36" applyNumberFormat="0" applyAlignment="0" applyProtection="0">
      <alignment horizontal="left" vertical="center" indent="1"/>
    </xf>
    <xf numFmtId="0" fontId="53" fillId="41" borderId="19" applyNumberFormat="0" applyAlignment="0" applyProtection="0">
      <alignment horizontal="left" vertical="center" indent="1"/>
    </xf>
    <xf numFmtId="0" fontId="53" fillId="41" borderId="19" applyNumberFormat="0" applyAlignment="0" applyProtection="0">
      <alignment horizontal="left" vertical="center" indent="1"/>
    </xf>
    <xf numFmtId="0" fontId="52" fillId="37" borderId="19" applyNumberFormat="0" applyAlignment="0" applyProtection="0">
      <alignment horizontal="left" vertical="center" indent="1"/>
    </xf>
    <xf numFmtId="0" fontId="52" fillId="37" borderId="19" applyNumberFormat="0" applyAlignment="0" applyProtection="0">
      <alignment horizontal="left" vertical="center" indent="1"/>
    </xf>
    <xf numFmtId="176" fontId="53" fillId="36" borderId="38" applyNumberFormat="0" applyAlignment="0" applyProtection="0">
      <alignment horizontal="right" vertical="center" indent="1"/>
    </xf>
    <xf numFmtId="0" fontId="30" fillId="31" borderId="0" applyNumberFormat="0" applyBorder="0" applyAlignment="0" applyProtection="0"/>
    <xf numFmtId="0" fontId="37" fillId="29" borderId="26" applyNumberFormat="0" applyAlignment="0" applyProtection="0"/>
    <xf numFmtId="0" fontId="37" fillId="29" borderId="26" applyNumberFormat="0" applyAlignment="0" applyProtection="0"/>
    <xf numFmtId="0" fontId="29" fillId="0" borderId="0" applyNumberFormat="0" applyFill="0" applyBorder="0" applyAlignment="0" applyProtection="0"/>
    <xf numFmtId="0" fontId="21" fillId="0" borderId="0" applyNumberFormat="0" applyFill="0" applyBorder="0" applyAlignment="0" applyProtection="0"/>
    <xf numFmtId="0" fontId="38" fillId="0" borderId="0" applyNumberFormat="0" applyFill="0" applyBorder="0" applyAlignment="0" applyProtection="0"/>
    <xf numFmtId="0" fontId="31" fillId="0" borderId="21" applyNumberFormat="0" applyFill="0" applyAlignment="0" applyProtection="0"/>
    <xf numFmtId="0" fontId="32" fillId="0" borderId="22" applyNumberFormat="0" applyFill="0" applyAlignment="0" applyProtection="0"/>
    <xf numFmtId="0" fontId="33" fillId="0" borderId="23" applyNumberFormat="0" applyFill="0" applyAlignment="0" applyProtection="0"/>
    <xf numFmtId="0" fontId="33" fillId="0" borderId="0" applyNumberFormat="0" applyFill="0" applyBorder="0" applyAlignment="0" applyProtection="0"/>
    <xf numFmtId="0" fontId="39" fillId="0" borderId="27" applyNumberFormat="0" applyFill="0" applyAlignment="0" applyProtection="0"/>
    <xf numFmtId="0" fontId="39" fillId="0" borderId="17" applyNumberFormat="0" applyFill="0" applyAlignment="0" applyProtection="0"/>
    <xf numFmtId="37" fontId="18" fillId="21" borderId="0" applyNumberFormat="0" applyBorder="0" applyAlignment="0" applyProtection="0"/>
    <xf numFmtId="37" fontId="18" fillId="0" borderId="0"/>
    <xf numFmtId="3" fontId="50" fillId="0" borderId="34" applyProtection="0"/>
    <xf numFmtId="0" fontId="28" fillId="30" borderId="20" applyNumberFormat="0" applyAlignment="0" applyProtection="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29" borderId="19" applyNumberFormat="0" applyAlignment="0" applyProtection="0"/>
    <xf numFmtId="0" fontId="34" fillId="18" borderId="19" applyNumberFormat="0" applyAlignment="0" applyProtection="0"/>
    <xf numFmtId="0" fontId="7" fillId="17" borderId="25" applyNumberFormat="0" applyFont="0" applyAlignment="0" applyProtection="0"/>
    <xf numFmtId="0" fontId="37" fillId="29" borderId="26" applyNumberFormat="0" applyAlignment="0" applyProtection="0"/>
    <xf numFmtId="0" fontId="39" fillId="0" borderId="27" applyNumberFormat="0" applyFill="0" applyAlignment="0" applyProtection="0"/>
    <xf numFmtId="0" fontId="27" fillId="29" borderId="19" applyNumberFormat="0" applyAlignment="0" applyProtection="0"/>
    <xf numFmtId="0" fontId="27" fillId="29" borderId="19" applyNumberFormat="0" applyAlignment="0" applyProtection="0"/>
    <xf numFmtId="0" fontId="27" fillId="29" borderId="19" applyNumberFormat="0" applyAlignment="0" applyProtection="0"/>
    <xf numFmtId="0" fontId="59" fillId="14" borderId="19" applyNumberFormat="0" applyAlignment="0" applyProtection="0"/>
    <xf numFmtId="0" fontId="59" fillId="14" borderId="19" applyNumberFormat="0" applyAlignment="0" applyProtection="0"/>
    <xf numFmtId="0" fontId="7" fillId="17" borderId="25" applyNumberFormat="0" applyFont="0" applyAlignment="0" applyProtection="0"/>
    <xf numFmtId="0" fontId="7" fillId="17" borderId="25" applyNumberFormat="0" applyFont="0" applyAlignment="0" applyProtection="0"/>
    <xf numFmtId="0" fontId="34" fillId="18" borderId="19" applyNumberFormat="0" applyAlignment="0" applyProtection="0"/>
    <xf numFmtId="0" fontId="34" fillId="18" borderId="19" applyNumberFormat="0" applyAlignment="0" applyProtection="0"/>
    <xf numFmtId="0" fontId="22" fillId="0" borderId="14">
      <alignment horizontal="left" vertical="center"/>
    </xf>
    <xf numFmtId="0" fontId="22" fillId="0" borderId="14">
      <alignment horizontal="left" vertical="center"/>
    </xf>
    <xf numFmtId="0" fontId="22" fillId="0" borderId="14">
      <alignment horizontal="left" vertical="center"/>
    </xf>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18" borderId="19" applyNumberFormat="0" applyAlignment="0" applyProtection="0"/>
    <xf numFmtId="0" fontId="34" fillId="7" borderId="19" applyNumberFormat="0" applyAlignment="0" applyProtection="0"/>
    <xf numFmtId="0" fontId="34" fillId="7" borderId="19" applyNumberFormat="0" applyAlignment="0" applyProtection="0"/>
    <xf numFmtId="0" fontId="34" fillId="18" borderId="19" applyNumberFormat="0" applyAlignment="0" applyProtection="0"/>
    <xf numFmtId="0" fontId="34" fillId="18"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34" fillId="7" borderId="19"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17" borderId="25" applyNumberFormat="0" applyFont="0" applyAlignment="0" applyProtection="0"/>
    <xf numFmtId="0" fontId="7" fillId="17" borderId="25" applyNumberFormat="0" applyFont="0" applyAlignment="0" applyProtection="0"/>
    <xf numFmtId="0" fontId="7" fillId="17" borderId="25" applyNumberFormat="0" applyFont="0" applyAlignment="0" applyProtection="0"/>
    <xf numFmtId="0" fontId="37" fillId="29" borderId="26" applyNumberFormat="0" applyAlignment="0" applyProtection="0"/>
    <xf numFmtId="0" fontId="37" fillId="14" borderId="26" applyNumberFormat="0" applyAlignment="0" applyProtection="0"/>
    <xf numFmtId="9" fontId="1" fillId="0" borderId="0" applyFont="0" applyFill="0" applyBorder="0" applyAlignment="0" applyProtection="0"/>
    <xf numFmtId="0" fontId="53" fillId="6" borderId="19" applyNumberFormat="0" applyAlignment="0" applyProtection="0">
      <alignment horizontal="left" vertical="center" indent="1"/>
    </xf>
    <xf numFmtId="0" fontId="53" fillId="6" borderId="19" applyNumberFormat="0" applyAlignment="0" applyProtection="0">
      <alignment horizontal="left" vertical="center" indent="1"/>
    </xf>
    <xf numFmtId="176" fontId="52" fillId="37" borderId="19" applyNumberFormat="0" applyAlignment="0" applyProtection="0">
      <alignment horizontal="left" vertical="center" indent="1"/>
    </xf>
    <xf numFmtId="176" fontId="52" fillId="37" borderId="19" applyNumberFormat="0" applyAlignment="0" applyProtection="0">
      <alignment horizontal="left" vertical="center" indent="1"/>
    </xf>
    <xf numFmtId="0" fontId="52" fillId="37" borderId="19" applyNumberFormat="0" applyAlignment="0" applyProtection="0">
      <alignment horizontal="left" vertical="center" indent="1"/>
    </xf>
    <xf numFmtId="0" fontId="52" fillId="37" borderId="19" applyNumberFormat="0" applyAlignment="0" applyProtection="0">
      <alignment horizontal="left" vertical="center" indent="1"/>
    </xf>
    <xf numFmtId="176" fontId="54" fillId="37" borderId="19" applyNumberFormat="0" applyAlignment="0" applyProtection="0">
      <alignment horizontal="left" vertical="center" indent="1"/>
    </xf>
    <xf numFmtId="176" fontId="54" fillId="37" borderId="19" applyNumberFormat="0" applyAlignment="0" applyProtection="0">
      <alignment horizontal="left" vertical="center" indent="1"/>
    </xf>
    <xf numFmtId="0" fontId="54" fillId="37" borderId="19" applyNumberFormat="0" applyAlignment="0" applyProtection="0">
      <alignment horizontal="left" vertical="center" indent="1"/>
    </xf>
    <xf numFmtId="0" fontId="54" fillId="37" borderId="19" applyNumberFormat="0" applyAlignment="0" applyProtection="0">
      <alignment horizontal="left" vertical="center" indent="1"/>
    </xf>
    <xf numFmtId="0" fontId="54" fillId="37" borderId="19" applyNumberFormat="0" applyAlignment="0" applyProtection="0">
      <alignment horizontal="left" vertical="center" indent="1"/>
    </xf>
    <xf numFmtId="0" fontId="54" fillId="37" borderId="19" applyNumberFormat="0" applyAlignment="0" applyProtection="0">
      <alignment horizontal="left" vertical="center" indent="1"/>
    </xf>
    <xf numFmtId="0" fontId="52" fillId="44" borderId="19" applyNumberFormat="0" applyAlignment="0" applyProtection="0">
      <alignment horizontal="left" vertical="center" indent="1"/>
    </xf>
    <xf numFmtId="0" fontId="52" fillId="44"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8" borderId="19" applyNumberFormat="0" applyAlignment="0" applyProtection="0">
      <alignment horizontal="left" vertical="center" indent="1"/>
    </xf>
    <xf numFmtId="0" fontId="52" fillId="37" borderId="19" applyNumberFormat="0" applyAlignment="0" applyProtection="0">
      <alignment horizontal="left" vertical="center" indent="1"/>
    </xf>
    <xf numFmtId="0" fontId="52" fillId="37" borderId="19" applyNumberFormat="0" applyAlignment="0" applyProtection="0">
      <alignment horizontal="left" vertical="center" indent="1"/>
    </xf>
    <xf numFmtId="0" fontId="53" fillId="41" borderId="19" applyNumberFormat="0" applyAlignment="0" applyProtection="0">
      <alignment horizontal="left" vertical="center" indent="1"/>
    </xf>
    <xf numFmtId="0" fontId="53" fillId="41" borderId="19" applyNumberFormat="0" applyAlignment="0" applyProtection="0">
      <alignment horizontal="left" vertical="center" indent="1"/>
    </xf>
    <xf numFmtId="0" fontId="52" fillId="37" borderId="19" applyNumberFormat="0" applyAlignment="0" applyProtection="0">
      <alignment horizontal="left" vertical="center" indent="1"/>
    </xf>
    <xf numFmtId="0" fontId="52" fillId="37" borderId="19" applyNumberFormat="0" applyAlignment="0" applyProtection="0">
      <alignment horizontal="left" vertical="center" indent="1"/>
    </xf>
    <xf numFmtId="0" fontId="37" fillId="29" borderId="26" applyNumberFormat="0" applyAlignment="0" applyProtection="0"/>
    <xf numFmtId="0" fontId="37" fillId="29" borderId="26" applyNumberFormat="0" applyAlignment="0" applyProtection="0"/>
    <xf numFmtId="0" fontId="39" fillId="0" borderId="27" applyNumberFormat="0" applyFill="0" applyAlignment="0" applyProtection="0"/>
    <xf numFmtId="0" fontId="39" fillId="0" borderId="17"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29">
      <alignment horizontal="left" vertical="center"/>
    </xf>
    <xf numFmtId="0" fontId="22" fillId="0" borderId="29">
      <alignment horizontal="left" vertical="center"/>
    </xf>
    <xf numFmtId="0" fontId="22" fillId="0" borderId="29">
      <alignment horizontal="lef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51" fillId="0" borderId="36" applyNumberFormat="0" applyFont="0" applyFill="0" applyAlignment="0" applyProtection="0"/>
    <xf numFmtId="0" fontId="51" fillId="0" borderId="36" applyNumberFormat="0" applyFont="0" applyFill="0" applyAlignment="0" applyProtection="0"/>
    <xf numFmtId="0" fontId="7" fillId="0" borderId="0"/>
    <xf numFmtId="0" fontId="54" fillId="0" borderId="39" applyNumberFormat="0" applyFill="0" applyBorder="0" applyAlignment="0" applyProtection="0"/>
    <xf numFmtId="0" fontId="54" fillId="0" borderId="39" applyNumberFormat="0" applyFill="0" applyBorder="0" applyAlignment="0" applyProtection="0"/>
    <xf numFmtId="176" fontId="56" fillId="39" borderId="40" applyNumberFormat="0" applyBorder="0" applyAlignment="0" applyProtection="0">
      <alignment horizontal="right" vertical="center" indent="1"/>
    </xf>
    <xf numFmtId="176" fontId="56" fillId="39" borderId="40" applyNumberFormat="0" applyBorder="0" applyAlignment="0" applyProtection="0">
      <alignment horizontal="right" vertical="center" indent="1"/>
    </xf>
    <xf numFmtId="176" fontId="56" fillId="40" borderId="40" applyNumberFormat="0" applyBorder="0" applyAlignment="0" applyProtection="0">
      <alignment horizontal="right" vertical="center" indent="1"/>
    </xf>
    <xf numFmtId="176" fontId="56" fillId="40" borderId="40" applyNumberFormat="0" applyBorder="0" applyAlignment="0" applyProtection="0">
      <alignment horizontal="right" vertical="center" indent="1"/>
    </xf>
    <xf numFmtId="176" fontId="56" fillId="40" borderId="40" applyNumberFormat="0" applyBorder="0" applyAlignment="0" applyProtection="0">
      <alignment horizontal="right" vertical="center" indent="1"/>
    </xf>
    <xf numFmtId="176" fontId="56" fillId="40" borderId="40" applyNumberFormat="0" applyBorder="0" applyAlignment="0" applyProtection="0">
      <alignment horizontal="right" vertical="center" indent="1"/>
    </xf>
    <xf numFmtId="176" fontId="57" fillId="41" borderId="40" applyNumberFormat="0" applyBorder="0" applyAlignment="0" applyProtection="0">
      <alignment horizontal="right" vertical="center" indent="1"/>
    </xf>
    <xf numFmtId="176" fontId="57" fillId="41" borderId="40" applyNumberFormat="0" applyBorder="0" applyAlignment="0" applyProtection="0">
      <alignment horizontal="right" vertical="center" indent="1"/>
    </xf>
    <xf numFmtId="176" fontId="57" fillId="42" borderId="40" applyNumberFormat="0" applyBorder="0" applyAlignment="0" applyProtection="0">
      <alignment horizontal="right" vertical="center" indent="1"/>
    </xf>
    <xf numFmtId="176" fontId="57" fillId="42" borderId="40" applyNumberFormat="0" applyBorder="0" applyAlignment="0" applyProtection="0">
      <alignment horizontal="right" vertical="center" indent="1"/>
    </xf>
    <xf numFmtId="176" fontId="57" fillId="22" borderId="40" applyNumberFormat="0" applyBorder="0" applyAlignment="0" applyProtection="0">
      <alignment horizontal="right" vertical="center" indent="1"/>
    </xf>
    <xf numFmtId="176" fontId="57" fillId="22" borderId="40" applyNumberFormat="0" applyBorder="0" applyAlignment="0" applyProtection="0">
      <alignment horizontal="right" vertical="center" indent="1"/>
    </xf>
    <xf numFmtId="176" fontId="58" fillId="43" borderId="40" applyNumberFormat="0" applyBorder="0" applyAlignment="0" applyProtection="0">
      <alignment horizontal="right" vertical="center" indent="1"/>
    </xf>
    <xf numFmtId="176" fontId="58" fillId="43" borderId="40" applyNumberFormat="0" applyBorder="0" applyAlignment="0" applyProtection="0">
      <alignment horizontal="right" vertical="center" indent="1"/>
    </xf>
    <xf numFmtId="176" fontId="58" fillId="22" borderId="40" applyNumberFormat="0" applyBorder="0" applyAlignment="0" applyProtection="0">
      <alignment horizontal="right" vertical="center" indent="1"/>
    </xf>
    <xf numFmtId="176" fontId="58" fillId="22" borderId="40" applyNumberFormat="0" applyBorder="0" applyAlignment="0" applyProtection="0">
      <alignment horizontal="right" vertical="center" indent="1"/>
    </xf>
    <xf numFmtId="176" fontId="58" fillId="22" borderId="40" applyNumberFormat="0" applyBorder="0" applyAlignment="0" applyProtection="0">
      <alignment horizontal="right" vertical="center" indent="1"/>
    </xf>
    <xf numFmtId="176" fontId="58" fillId="22" borderId="40" applyNumberFormat="0" applyBorder="0" applyAlignment="0" applyProtection="0">
      <alignment horizontal="right" vertical="center" indent="1"/>
    </xf>
    <xf numFmtId="176" fontId="52" fillId="6" borderId="36" applyNumberFormat="0" applyAlignment="0" applyProtection="0">
      <alignment horizontal="left" vertical="center" indent="1"/>
    </xf>
    <xf numFmtId="176" fontId="52" fillId="6" borderId="36" applyNumberFormat="0" applyAlignment="0" applyProtection="0">
      <alignment horizontal="left" vertical="center" indent="1"/>
    </xf>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cellStyleXfs>
  <cellXfs count="227">
    <xf numFmtId="0" fontId="0" fillId="0" borderId="0" xfId="0"/>
    <xf numFmtId="0" fontId="7" fillId="0" borderId="0" xfId="0" applyFont="1"/>
    <xf numFmtId="0" fontId="7" fillId="0" borderId="0" xfId="0" applyFont="1" applyBorder="1" applyAlignment="1" applyProtection="1">
      <alignment horizontal="center"/>
    </xf>
    <xf numFmtId="0" fontId="7" fillId="0" borderId="0" xfId="0" applyFont="1" applyBorder="1" applyAlignment="1" applyProtection="1"/>
    <xf numFmtId="0" fontId="7" fillId="0" borderId="0" xfId="0" applyFont="1" applyFill="1"/>
    <xf numFmtId="0" fontId="7" fillId="0" borderId="0" xfId="0" applyFont="1" applyFill="1" applyBorder="1" applyAlignment="1" applyProtection="1">
      <alignment horizontal="center"/>
    </xf>
    <xf numFmtId="0" fontId="0" fillId="0" borderId="0" xfId="0" applyFill="1"/>
    <xf numFmtId="164" fontId="6" fillId="0" borderId="0" xfId="0" applyNumberFormat="1" applyFont="1" applyFill="1" applyBorder="1" applyAlignment="1" applyProtection="1">
      <alignment horizontal="center"/>
    </xf>
    <xf numFmtId="0" fontId="7" fillId="0" borderId="0" xfId="0" applyFont="1" applyFill="1" applyBorder="1" applyAlignment="1" applyProtection="1"/>
    <xf numFmtId="0" fontId="7" fillId="0" borderId="0" xfId="0" applyFont="1" applyFill="1" applyBorder="1" applyProtection="1"/>
    <xf numFmtId="0" fontId="7" fillId="0" borderId="0" xfId="0" applyFont="1" applyFill="1" applyProtection="1"/>
    <xf numFmtId="165" fontId="7" fillId="0" borderId="0" xfId="0" applyNumberFormat="1" applyFont="1" applyFill="1" applyBorder="1" applyProtection="1"/>
    <xf numFmtId="165" fontId="7" fillId="0" borderId="0" xfId="0" applyNumberFormat="1" applyFont="1" applyFill="1" applyProtection="1"/>
    <xf numFmtId="0" fontId="0" fillId="0" borderId="0" xfId="0"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xf numFmtId="0" fontId="7" fillId="0" borderId="0" xfId="0" applyFont="1" applyFill="1" applyAlignment="1" applyProtection="1"/>
    <xf numFmtId="0" fontId="7" fillId="0" borderId="0" xfId="0" applyFont="1" applyFill="1" applyAlignment="1"/>
    <xf numFmtId="0" fontId="7" fillId="2" borderId="0" xfId="0" applyFont="1" applyFill="1" applyProtection="1"/>
    <xf numFmtId="0" fontId="7" fillId="0" borderId="0" xfId="0" applyFont="1" applyProtection="1"/>
    <xf numFmtId="165" fontId="7" fillId="0" borderId="0" xfId="0" applyNumberFormat="1" applyFont="1" applyProtection="1"/>
    <xf numFmtId="0" fontId="7" fillId="0" borderId="0" xfId="0" applyFont="1" applyAlignment="1" applyProtection="1">
      <alignment vertical="center"/>
    </xf>
    <xf numFmtId="49" fontId="6" fillId="0" borderId="0" xfId="0" applyNumberFormat="1" applyFont="1" applyBorder="1" applyAlignment="1" applyProtection="1">
      <alignment horizontal="right"/>
    </xf>
    <xf numFmtId="49" fontId="6" fillId="0" borderId="0" xfId="0" applyNumberFormat="1" applyFont="1" applyAlignment="1" applyProtection="1">
      <alignment horizontal="right"/>
    </xf>
    <xf numFmtId="49" fontId="6" fillId="0" borderId="0" xfId="0" applyNumberFormat="1" applyFont="1" applyFill="1" applyBorder="1" applyAlignment="1" applyProtection="1">
      <alignment horizontal="right"/>
    </xf>
    <xf numFmtId="0" fontId="7" fillId="0" borderId="0" xfId="1" applyFont="1" applyAlignment="1" applyProtection="1"/>
    <xf numFmtId="49" fontId="6" fillId="0" borderId="0" xfId="0" applyNumberFormat="1" applyFont="1" applyFill="1" applyBorder="1" applyAlignment="1" applyProtection="1">
      <alignment horizontal="right" vertical="center"/>
    </xf>
    <xf numFmtId="0" fontId="6" fillId="0" borderId="0" xfId="0" applyFont="1" applyAlignment="1">
      <alignment vertical="center"/>
    </xf>
    <xf numFmtId="0" fontId="7" fillId="0" borderId="0" xfId="0" applyFont="1" applyAlignment="1">
      <alignment vertical="center"/>
    </xf>
    <xf numFmtId="49" fontId="6" fillId="0" borderId="0" xfId="0" applyNumberFormat="1" applyFont="1" applyFill="1" applyAlignment="1">
      <alignment horizontal="right"/>
    </xf>
    <xf numFmtId="0" fontId="6" fillId="0" borderId="0" xfId="0" applyFont="1" applyFill="1" applyBorder="1" applyProtection="1"/>
    <xf numFmtId="3" fontId="7" fillId="0" borderId="0" xfId="0" applyNumberFormat="1" applyFont="1" applyFill="1" applyProtection="1"/>
    <xf numFmtId="0" fontId="7" fillId="4" borderId="0" xfId="0" applyFont="1" applyFill="1"/>
    <xf numFmtId="0" fontId="6" fillId="0" borderId="0" xfId="0" applyFont="1" applyFill="1" applyBorder="1" applyAlignment="1" applyProtection="1">
      <alignment horizontal="center"/>
    </xf>
    <xf numFmtId="0" fontId="6" fillId="0" borderId="0" xfId="0" applyFont="1"/>
    <xf numFmtId="0" fontId="7" fillId="0" borderId="0" xfId="0" applyFont="1" applyAlignment="1">
      <alignment vertical="top"/>
    </xf>
    <xf numFmtId="0" fontId="11" fillId="4" borderId="0" xfId="0" applyFont="1" applyFill="1"/>
    <xf numFmtId="167" fontId="6" fillId="5" borderId="5" xfId="0" applyNumberFormat="1" applyFont="1" applyFill="1" applyBorder="1" applyAlignment="1" applyProtection="1">
      <alignment horizontal="center"/>
    </xf>
    <xf numFmtId="0" fontId="7" fillId="5" borderId="6" xfId="0" applyFont="1" applyFill="1" applyBorder="1" applyProtection="1"/>
    <xf numFmtId="167" fontId="6" fillId="5" borderId="6" xfId="0" applyNumberFormat="1" applyFont="1" applyFill="1" applyBorder="1" applyAlignment="1" applyProtection="1">
      <alignment horizontal="center"/>
    </xf>
    <xf numFmtId="0" fontId="7" fillId="5" borderId="7" xfId="0" applyFont="1" applyFill="1" applyBorder="1" applyProtection="1"/>
    <xf numFmtId="167" fontId="6" fillId="5" borderId="2" xfId="0" applyNumberFormat="1" applyFont="1" applyFill="1" applyBorder="1" applyAlignment="1" applyProtection="1">
      <alignment horizontal="center"/>
    </xf>
    <xf numFmtId="0" fontId="7" fillId="5" borderId="3" xfId="0" applyFont="1" applyFill="1" applyBorder="1" applyProtection="1"/>
    <xf numFmtId="167" fontId="6" fillId="5" borderId="3" xfId="0" applyNumberFormat="1" applyFont="1" applyFill="1" applyBorder="1" applyAlignment="1" applyProtection="1">
      <alignment horizontal="center"/>
    </xf>
    <xf numFmtId="167" fontId="6" fillId="5" borderId="4" xfId="0" applyNumberFormat="1" applyFont="1" applyFill="1" applyBorder="1" applyAlignment="1" applyProtection="1">
      <alignment horizontal="center"/>
    </xf>
    <xf numFmtId="167" fontId="7" fillId="3" borderId="8" xfId="0" applyNumberFormat="1" applyFont="1" applyFill="1" applyBorder="1" applyProtection="1">
      <protection locked="0"/>
    </xf>
    <xf numFmtId="167" fontId="7" fillId="0" borderId="0" xfId="0" applyNumberFormat="1" applyFont="1" applyFill="1" applyProtection="1"/>
    <xf numFmtId="167" fontId="7" fillId="3" borderId="1" xfId="0" applyNumberFormat="1" applyFont="1" applyFill="1" applyBorder="1" applyProtection="1">
      <protection locked="0"/>
    </xf>
    <xf numFmtId="0" fontId="7" fillId="0" borderId="0" xfId="0" applyFont="1" applyAlignment="1" applyProtection="1">
      <alignment horizontal="right"/>
    </xf>
    <xf numFmtId="49" fontId="13" fillId="2" borderId="0" xfId="0" applyNumberFormat="1" applyFont="1" applyFill="1" applyAlignment="1" applyProtection="1">
      <alignment horizontal="right"/>
    </xf>
    <xf numFmtId="0" fontId="12" fillId="2" borderId="0" xfId="0" applyFont="1" applyFill="1" applyProtection="1"/>
    <xf numFmtId="0" fontId="12" fillId="2" borderId="0" xfId="0" applyFont="1" applyFill="1"/>
    <xf numFmtId="49" fontId="13" fillId="2" borderId="0" xfId="0" applyNumberFormat="1" applyFont="1" applyFill="1" applyAlignment="1" applyProtection="1">
      <alignment horizontal="right" vertical="center"/>
    </xf>
    <xf numFmtId="0" fontId="12" fillId="2" borderId="0" xfId="0" applyFont="1" applyFill="1" applyAlignment="1" applyProtection="1">
      <alignment vertical="center"/>
    </xf>
    <xf numFmtId="0" fontId="12" fillId="2" borderId="0" xfId="0" applyFont="1" applyFill="1" applyAlignment="1">
      <alignment vertical="center"/>
    </xf>
    <xf numFmtId="49" fontId="13" fillId="2" borderId="0" xfId="0" applyNumberFormat="1" applyFont="1" applyFill="1" applyBorder="1" applyAlignment="1" applyProtection="1">
      <alignment horizontal="right" vertical="center"/>
    </xf>
    <xf numFmtId="0" fontId="12" fillId="2" borderId="0" xfId="0" applyFont="1" applyFill="1" applyBorder="1" applyAlignment="1" applyProtection="1">
      <alignment vertical="center"/>
    </xf>
    <xf numFmtId="0" fontId="6" fillId="0" borderId="0" xfId="0" applyFont="1" applyFill="1" applyBorder="1" applyAlignment="1" applyProtection="1">
      <alignment vertical="center"/>
    </xf>
    <xf numFmtId="0" fontId="14" fillId="0" borderId="0" xfId="0" applyFont="1" applyAlignment="1">
      <alignment vertical="center"/>
    </xf>
    <xf numFmtId="0" fontId="7" fillId="0" borderId="0" xfId="0" applyFont="1" applyFill="1" applyAlignment="1" applyProtection="1">
      <alignment vertical="center"/>
    </xf>
    <xf numFmtId="0" fontId="7" fillId="3" borderId="10" xfId="0" applyFont="1" applyFill="1" applyBorder="1" applyProtection="1">
      <protection locked="0"/>
    </xf>
    <xf numFmtId="0" fontId="7" fillId="4" borderId="0" xfId="4" applyFont="1" applyFill="1"/>
    <xf numFmtId="0" fontId="12" fillId="0" borderId="0" xfId="0" applyFont="1" applyFill="1" applyProtection="1"/>
    <xf numFmtId="3" fontId="7" fillId="0" borderId="0" xfId="0" applyNumberFormat="1" applyFont="1" applyFill="1" applyBorder="1" applyProtection="1"/>
    <xf numFmtId="0" fontId="7" fillId="4" borderId="0" xfId="7" applyFont="1" applyFill="1"/>
    <xf numFmtId="0" fontId="7" fillId="4" borderId="0" xfId="7" applyFont="1" applyFill="1"/>
    <xf numFmtId="0" fontId="6" fillId="4" borderId="0" xfId="7" applyFont="1" applyFill="1"/>
    <xf numFmtId="0" fontId="7" fillId="0" borderId="0" xfId="0" applyFont="1" applyAlignment="1">
      <alignment horizontal="left" vertical="center" indent="1"/>
    </xf>
    <xf numFmtId="0" fontId="7" fillId="3" borderId="10" xfId="0" applyFont="1" applyFill="1" applyBorder="1" applyAlignment="1" applyProtection="1">
      <alignment vertical="center"/>
      <protection locked="0"/>
    </xf>
    <xf numFmtId="0" fontId="14" fillId="0" borderId="0" xfId="0" applyFont="1" applyFill="1" applyAlignment="1" applyProtection="1">
      <alignment vertical="center"/>
    </xf>
    <xf numFmtId="0" fontId="7" fillId="0" borderId="11" xfId="0" applyFont="1" applyFill="1" applyBorder="1" applyAlignment="1" applyProtection="1">
      <alignment vertical="center"/>
    </xf>
    <xf numFmtId="0" fontId="7" fillId="0" borderId="0" xfId="0" applyFont="1" applyFill="1" applyAlignment="1">
      <alignment horizontal="left"/>
    </xf>
    <xf numFmtId="1" fontId="7" fillId="3" borderId="12" xfId="0" applyNumberFormat="1" applyFont="1" applyFill="1" applyBorder="1" applyAlignment="1" applyProtection="1">
      <alignment horizontal="center" vertical="center"/>
      <protection locked="0"/>
    </xf>
    <xf numFmtId="1" fontId="7" fillId="3" borderId="13" xfId="0" applyNumberFormat="1" applyFont="1" applyFill="1" applyBorder="1" applyAlignment="1" applyProtection="1">
      <alignment horizontal="center" vertical="center"/>
      <protection locked="0"/>
    </xf>
    <xf numFmtId="1" fontId="7" fillId="3" borderId="8" xfId="0" applyNumberFormat="1" applyFont="1" applyFill="1" applyBorder="1" applyAlignment="1" applyProtection="1">
      <alignment horizontal="center" vertical="center"/>
      <protection locked="0"/>
    </xf>
    <xf numFmtId="1" fontId="7" fillId="0" borderId="14" xfId="0" applyNumberFormat="1" applyFont="1" applyFill="1" applyBorder="1" applyAlignment="1" applyProtection="1">
      <alignment horizontal="center" vertical="center"/>
    </xf>
    <xf numFmtId="0" fontId="14" fillId="0" borderId="0" xfId="0" applyFont="1" applyFill="1" applyAlignment="1" applyProtection="1"/>
    <xf numFmtId="1" fontId="7" fillId="3" borderId="10" xfId="0" applyNumberFormat="1" applyFont="1" applyFill="1" applyBorder="1" applyAlignment="1" applyProtection="1">
      <alignment vertical="center"/>
      <protection locked="0"/>
    </xf>
    <xf numFmtId="3" fontId="7" fillId="3" borderId="1" xfId="0" applyNumberFormat="1" applyFont="1" applyFill="1" applyBorder="1" applyAlignment="1" applyProtection="1">
      <alignment vertical="center"/>
      <protection locked="0"/>
    </xf>
    <xf numFmtId="3" fontId="7" fillId="0" borderId="0" xfId="0" applyNumberFormat="1" applyFont="1" applyFill="1" applyBorder="1" applyAlignment="1" applyProtection="1">
      <alignment vertical="center"/>
    </xf>
    <xf numFmtId="3" fontId="7" fillId="0" borderId="0" xfId="0" applyNumberFormat="1" applyFont="1" applyProtection="1"/>
    <xf numFmtId="0" fontId="7" fillId="0" borderId="0" xfId="0" applyFont="1" applyFill="1" applyBorder="1" applyAlignment="1" applyProtection="1">
      <alignment horizontal="left" vertical="center" indent="1"/>
    </xf>
    <xf numFmtId="3" fontId="7" fillId="3" borderId="1" xfId="0" applyNumberFormat="1" applyFont="1" applyFill="1" applyBorder="1" applyAlignment="1" applyProtection="1">
      <alignment horizontal="center" vertical="center"/>
      <protection locked="0"/>
    </xf>
    <xf numFmtId="3" fontId="7" fillId="3" borderId="1" xfId="0" applyNumberFormat="1" applyFont="1" applyFill="1" applyBorder="1" applyProtection="1">
      <protection locked="0"/>
    </xf>
    <xf numFmtId="0" fontId="7" fillId="0" borderId="0" xfId="7" applyFont="1" applyBorder="1"/>
    <xf numFmtId="166" fontId="16" fillId="19" borderId="18" xfId="37" applyNumberFormat="1" applyFont="1" applyFill="1" applyBorder="1" applyAlignment="1"/>
    <xf numFmtId="0" fontId="16" fillId="19" borderId="18" xfId="37" applyFont="1" applyFill="1" applyBorder="1" applyAlignment="1"/>
    <xf numFmtId="168" fontId="7" fillId="0" borderId="0" xfId="0" applyNumberFormat="1" applyFont="1" applyAlignment="1" applyProtection="1">
      <alignment horizontal="center" vertical="center"/>
    </xf>
    <xf numFmtId="3" fontId="7" fillId="0" borderId="0" xfId="7" quotePrefix="1" applyNumberFormat="1" applyFont="1" applyBorder="1"/>
    <xf numFmtId="3" fontId="6" fillId="0" borderId="0" xfId="7" quotePrefix="1" applyNumberFormat="1" applyFont="1" applyBorder="1"/>
    <xf numFmtId="169" fontId="7" fillId="3" borderId="1" xfId="0" applyNumberFormat="1" applyFont="1" applyFill="1" applyBorder="1" applyProtection="1">
      <protection locked="0"/>
    </xf>
    <xf numFmtId="168" fontId="7" fillId="0" borderId="0" xfId="7" quotePrefix="1" applyNumberFormat="1" applyFont="1" applyBorder="1"/>
    <xf numFmtId="0" fontId="6" fillId="0" borderId="0" xfId="0" applyFont="1" applyFill="1" applyAlignment="1">
      <alignment vertical="center"/>
    </xf>
    <xf numFmtId="0" fontId="6" fillId="0" borderId="0" xfId="7" applyFont="1" applyBorder="1"/>
    <xf numFmtId="167" fontId="7" fillId="0" borderId="0" xfId="0" applyNumberFormat="1" applyFont="1"/>
    <xf numFmtId="166" fontId="7" fillId="0" borderId="0" xfId="0" applyNumberFormat="1" applyFont="1"/>
    <xf numFmtId="3" fontId="7" fillId="0" borderId="0" xfId="0" applyNumberFormat="1" applyFont="1"/>
    <xf numFmtId="0" fontId="7" fillId="4" borderId="0" xfId="269" applyFont="1" applyFill="1" applyBorder="1" applyAlignment="1">
      <alignment horizontal="left" vertical="center"/>
    </xf>
    <xf numFmtId="0" fontId="7" fillId="3" borderId="28" xfId="0" applyFont="1" applyFill="1" applyBorder="1" applyAlignment="1" applyProtection="1">
      <alignment vertical="center"/>
      <protection locked="0"/>
    </xf>
    <xf numFmtId="0" fontId="7" fillId="0" borderId="0" xfId="0" applyFont="1" applyAlignment="1" applyProtection="1">
      <alignment horizontal="left" indent="1"/>
    </xf>
    <xf numFmtId="0" fontId="7" fillId="0" borderId="3" xfId="0" applyFont="1" applyFill="1" applyBorder="1" applyAlignment="1" applyProtection="1">
      <alignment vertical="center"/>
    </xf>
    <xf numFmtId="0" fontId="7" fillId="0" borderId="3" xfId="0" applyFont="1" applyFill="1" applyBorder="1" applyAlignment="1">
      <alignment vertical="center"/>
    </xf>
    <xf numFmtId="164" fontId="6" fillId="0" borderId="3" xfId="0" applyNumberFormat="1" applyFont="1" applyFill="1" applyBorder="1" applyAlignment="1" applyProtection="1">
      <alignment vertical="center"/>
    </xf>
    <xf numFmtId="0" fontId="6" fillId="0" borderId="3" xfId="0" applyFont="1" applyFill="1" applyBorder="1" applyAlignment="1" applyProtection="1">
      <alignment vertical="center"/>
    </xf>
    <xf numFmtId="0" fontId="7" fillId="0" borderId="44" xfId="0" applyFont="1" applyFill="1" applyBorder="1" applyAlignment="1" applyProtection="1">
      <alignment vertical="center"/>
    </xf>
    <xf numFmtId="0" fontId="7" fillId="0" borderId="44" xfId="0" applyFont="1" applyFill="1" applyBorder="1" applyAlignment="1">
      <alignment vertical="center"/>
    </xf>
    <xf numFmtId="164" fontId="6" fillId="0" borderId="44" xfId="0" applyNumberFormat="1" applyFont="1" applyFill="1" applyBorder="1" applyAlignment="1" applyProtection="1">
      <alignment vertical="center"/>
    </xf>
    <xf numFmtId="0" fontId="6" fillId="0" borderId="44" xfId="0" applyFont="1" applyFill="1" applyBorder="1" applyAlignment="1" applyProtection="1">
      <alignment vertical="center"/>
    </xf>
    <xf numFmtId="0" fontId="7" fillId="0" borderId="0" xfId="676" applyFill="1" applyBorder="1" applyProtection="1"/>
    <xf numFmtId="0" fontId="7" fillId="4" borderId="0" xfId="1" applyFont="1" applyFill="1" applyAlignment="1" applyProtection="1"/>
    <xf numFmtId="0" fontId="7" fillId="4" borderId="0" xfId="676" applyFont="1" applyFill="1" applyAlignment="1" applyProtection="1">
      <alignment vertical="top"/>
    </xf>
    <xf numFmtId="0" fontId="7" fillId="0" borderId="44" xfId="0" applyFont="1" applyFill="1" applyBorder="1" applyAlignment="1" applyProtection="1"/>
    <xf numFmtId="0" fontId="7" fillId="0" borderId="3" xfId="0" applyFont="1" applyFill="1" applyBorder="1" applyAlignment="1" applyProtection="1"/>
    <xf numFmtId="0" fontId="0" fillId="45" borderId="0" xfId="0" applyFill="1"/>
    <xf numFmtId="0" fontId="7" fillId="45" borderId="0" xfId="0" applyFont="1" applyFill="1"/>
    <xf numFmtId="0" fontId="7" fillId="45" borderId="0" xfId="0" applyFont="1" applyFill="1" applyAlignment="1"/>
    <xf numFmtId="0" fontId="0" fillId="45" borderId="0" xfId="0" applyFill="1" applyAlignment="1"/>
    <xf numFmtId="0" fontId="0" fillId="45" borderId="0" xfId="0" applyFill="1" applyBorder="1" applyAlignment="1" applyProtection="1">
      <alignment vertical="center"/>
    </xf>
    <xf numFmtId="0" fontId="7" fillId="45" borderId="0" xfId="0" applyFont="1" applyFill="1" applyBorder="1" applyAlignment="1" applyProtection="1">
      <alignment vertical="center"/>
    </xf>
    <xf numFmtId="49" fontId="6" fillId="45" borderId="0" xfId="0" applyNumberFormat="1" applyFont="1" applyFill="1" applyAlignment="1" applyProtection="1">
      <alignment horizontal="right"/>
    </xf>
    <xf numFmtId="0" fontId="7" fillId="45" borderId="0" xfId="0" applyFont="1" applyFill="1" applyAlignment="1">
      <alignment vertical="center"/>
    </xf>
    <xf numFmtId="0" fontId="7" fillId="45" borderId="0" xfId="0" applyFont="1" applyFill="1" applyProtection="1"/>
    <xf numFmtId="0" fontId="7" fillId="45" borderId="0" xfId="0" applyFont="1" applyFill="1" applyAlignment="1" applyProtection="1">
      <alignment vertical="center"/>
    </xf>
    <xf numFmtId="4" fontId="7" fillId="0" borderId="0" xfId="0" applyNumberFormat="1" applyFont="1" applyFill="1" applyBorder="1" applyAlignment="1" applyProtection="1">
      <alignment horizontal="center" vertical="center"/>
    </xf>
    <xf numFmtId="0" fontId="64" fillId="0" borderId="0" xfId="0" applyFont="1" applyFill="1" applyAlignment="1">
      <alignment vertical="center"/>
    </xf>
    <xf numFmtId="0" fontId="14" fillId="0" borderId="0" xfId="0" applyFont="1" applyAlignment="1" applyProtection="1">
      <alignment horizontal="center" vertical="center"/>
    </xf>
    <xf numFmtId="0" fontId="14" fillId="0" borderId="0" xfId="0" applyFont="1" applyFill="1" applyBorder="1" applyAlignment="1" applyProtection="1">
      <alignment horizontal="left" indent="1"/>
    </xf>
    <xf numFmtId="0" fontId="7" fillId="0" borderId="45" xfId="0" applyFont="1" applyFill="1" applyBorder="1" applyAlignment="1"/>
    <xf numFmtId="0" fontId="7" fillId="0" borderId="4" xfId="0" applyFont="1" applyFill="1" applyBorder="1" applyAlignment="1"/>
    <xf numFmtId="0" fontId="6" fillId="0" borderId="43" xfId="685" applyFont="1" applyFill="1" applyBorder="1" applyAlignment="1" applyProtection="1">
      <alignment horizontal="left" vertical="center" indent="1"/>
    </xf>
    <xf numFmtId="0" fontId="7" fillId="0" borderId="2" xfId="685" applyFont="1" applyFill="1" applyBorder="1" applyAlignment="1" applyProtection="1">
      <alignment horizontal="left" vertical="center" indent="1"/>
    </xf>
    <xf numFmtId="3" fontId="7" fillId="0" borderId="11" xfId="0" applyNumberFormat="1" applyFont="1" applyFill="1" applyBorder="1" applyAlignment="1" applyProtection="1">
      <alignment vertical="center"/>
    </xf>
    <xf numFmtId="3" fontId="7" fillId="3" borderId="10" xfId="0" applyNumberFormat="1" applyFont="1" applyFill="1" applyBorder="1" applyAlignment="1" applyProtection="1">
      <alignment horizontal="center" vertical="center"/>
      <protection locked="0"/>
    </xf>
    <xf numFmtId="0" fontId="7" fillId="0" borderId="0" xfId="0" applyFont="1" applyFill="1" applyAlignment="1" applyProtection="1">
      <alignment horizontal="left" indent="1"/>
    </xf>
    <xf numFmtId="0" fontId="0" fillId="0" borderId="0" xfId="0" applyFill="1" applyBorder="1" applyAlignment="1" applyProtection="1">
      <alignment horizontal="center" vertical="center"/>
    </xf>
    <xf numFmtId="3" fontId="7" fillId="0" borderId="0" xfId="0" applyNumberFormat="1" applyFont="1" applyFill="1" applyBorder="1" applyAlignment="1" applyProtection="1">
      <alignment horizontal="center" vertical="center"/>
    </xf>
    <xf numFmtId="3" fontId="7" fillId="0" borderId="0" xfId="0" applyNumberFormat="1" applyFont="1" applyAlignment="1" applyProtection="1">
      <alignment horizontal="center"/>
    </xf>
    <xf numFmtId="0" fontId="68" fillId="0" borderId="0" xfId="0" applyFont="1"/>
    <xf numFmtId="3" fontId="7" fillId="0" borderId="54" xfId="0" applyNumberFormat="1" applyFont="1" applyFill="1" applyBorder="1" applyAlignment="1" applyProtection="1">
      <alignment vertical="center"/>
    </xf>
    <xf numFmtId="0" fontId="6" fillId="0" borderId="0" xfId="0" applyFont="1" applyAlignment="1" applyProtection="1">
      <alignment horizontal="center"/>
    </xf>
    <xf numFmtId="168" fontId="7" fillId="3" borderId="1" xfId="0" applyNumberFormat="1" applyFont="1" applyFill="1" applyBorder="1" applyProtection="1">
      <protection locked="0"/>
    </xf>
    <xf numFmtId="0" fontId="7" fillId="0" borderId="0" xfId="0" applyFont="1" applyAlignment="1" applyProtection="1"/>
    <xf numFmtId="167" fontId="7" fillId="0" borderId="0" xfId="7" quotePrefix="1" applyNumberFormat="1" applyFont="1" applyBorder="1"/>
    <xf numFmtId="168" fontId="7" fillId="3" borderId="10" xfId="0" applyNumberFormat="1" applyFont="1" applyFill="1" applyBorder="1" applyProtection="1">
      <protection locked="0"/>
    </xf>
    <xf numFmtId="165" fontId="7" fillId="0" borderId="0" xfId="7" quotePrefix="1" applyNumberFormat="1" applyFont="1" applyBorder="1"/>
    <xf numFmtId="0" fontId="7" fillId="0" borderId="0" xfId="0" applyFont="1" applyFill="1" applyAlignment="1" applyProtection="1">
      <alignment horizontal="right"/>
    </xf>
    <xf numFmtId="0" fontId="7" fillId="0" borderId="0" xfId="0" quotePrefix="1" applyFont="1"/>
    <xf numFmtId="169" fontId="7" fillId="3" borderId="1" xfId="0" applyNumberFormat="1" applyFont="1" applyFill="1" applyBorder="1" applyAlignment="1" applyProtection="1">
      <alignment vertical="center"/>
      <protection locked="0"/>
    </xf>
    <xf numFmtId="168" fontId="7" fillId="3" borderId="1" xfId="0" applyNumberFormat="1" applyFont="1" applyFill="1" applyBorder="1" applyAlignment="1" applyProtection="1">
      <alignment vertical="center"/>
      <protection locked="0"/>
    </xf>
    <xf numFmtId="2" fontId="7" fillId="3" borderId="10" xfId="0" applyNumberFormat="1" applyFont="1" applyFill="1" applyBorder="1" applyProtection="1">
      <protection locked="0"/>
    </xf>
    <xf numFmtId="2" fontId="7" fillId="0" borderId="0" xfId="7" quotePrefix="1" applyNumberFormat="1" applyFont="1" applyBorder="1"/>
    <xf numFmtId="0" fontId="7" fillId="0" borderId="0" xfId="0" applyFont="1" applyFill="1" applyBorder="1" applyAlignment="1" applyProtection="1">
      <protection locked="0"/>
    </xf>
    <xf numFmtId="0" fontId="70" fillId="0" borderId="0" xfId="0" applyFont="1"/>
    <xf numFmtId="0" fontId="71" fillId="0" borderId="0" xfId="0" applyFont="1" applyAlignment="1">
      <alignment vertical="center"/>
    </xf>
    <xf numFmtId="0" fontId="11" fillId="0" borderId="0" xfId="0" applyFont="1" applyAlignment="1">
      <alignment horizontal="left" vertical="center" indent="1"/>
    </xf>
    <xf numFmtId="0" fontId="12" fillId="2" borderId="0" xfId="0" applyFont="1" applyFill="1" applyBorder="1" applyProtection="1"/>
    <xf numFmtId="0" fontId="13" fillId="2" borderId="0" xfId="0" applyFont="1" applyFill="1" applyBorder="1" applyAlignment="1" applyProtection="1">
      <alignment horizontal="center"/>
    </xf>
    <xf numFmtId="0" fontId="12" fillId="2" borderId="0" xfId="0" applyFont="1" applyFill="1" applyBorder="1" applyAlignment="1"/>
    <xf numFmtId="0" fontId="12" fillId="2" borderId="0" xfId="0" applyFont="1" applyFill="1" applyBorder="1" applyAlignment="1" applyProtection="1"/>
    <xf numFmtId="164" fontId="13" fillId="2" borderId="0" xfId="0" applyNumberFormat="1" applyFont="1" applyFill="1" applyBorder="1" applyAlignment="1" applyProtection="1">
      <alignment horizontal="center"/>
    </xf>
    <xf numFmtId="0" fontId="72" fillId="2" borderId="0" xfId="0" applyFont="1" applyFill="1" applyAlignment="1">
      <alignment vertical="center"/>
    </xf>
    <xf numFmtId="0" fontId="0" fillId="2" borderId="0" xfId="0" applyFill="1"/>
    <xf numFmtId="0" fontId="73" fillId="2" borderId="0" xfId="0" applyFont="1" applyFill="1"/>
    <xf numFmtId="0" fontId="74" fillId="0" borderId="0" xfId="0" applyFont="1"/>
    <xf numFmtId="4" fontId="7" fillId="3" borderId="1" xfId="0" applyNumberFormat="1" applyFont="1" applyFill="1" applyBorder="1" applyAlignment="1" applyProtection="1">
      <alignment vertical="center"/>
      <protection locked="0"/>
    </xf>
    <xf numFmtId="0" fontId="70" fillId="0" borderId="0" xfId="0" quotePrefix="1" applyFont="1" applyFill="1" applyProtection="1"/>
    <xf numFmtId="177" fontId="7" fillId="3" borderId="10" xfId="0" applyNumberFormat="1" applyFont="1" applyFill="1" applyBorder="1" applyAlignment="1" applyProtection="1">
      <alignment horizontal="right" vertical="center"/>
      <protection locked="0"/>
    </xf>
    <xf numFmtId="4" fontId="7" fillId="3" borderId="10" xfId="0" applyNumberFormat="1" applyFont="1" applyFill="1" applyBorder="1" applyProtection="1">
      <protection locked="0"/>
    </xf>
    <xf numFmtId="0" fontId="75" fillId="0" borderId="0" xfId="0" applyFont="1"/>
    <xf numFmtId="0" fontId="7" fillId="2" borderId="0" xfId="0" applyFont="1" applyFill="1" applyAlignment="1" applyProtection="1">
      <alignment vertical="center"/>
    </xf>
    <xf numFmtId="0" fontId="78" fillId="2" borderId="0" xfId="0" applyFont="1" applyFill="1" applyAlignment="1">
      <alignment horizontal="center" vertical="center"/>
    </xf>
    <xf numFmtId="0" fontId="7" fillId="2" borderId="0" xfId="0" applyFont="1" applyFill="1"/>
    <xf numFmtId="49" fontId="6" fillId="2" borderId="0" xfId="0" applyNumberFormat="1" applyFont="1" applyFill="1" applyAlignment="1" applyProtection="1">
      <alignment horizontal="right"/>
    </xf>
    <xf numFmtId="49" fontId="6" fillId="2" borderId="0" xfId="0" applyNumberFormat="1" applyFont="1" applyFill="1" applyAlignment="1">
      <alignment horizontal="right"/>
    </xf>
    <xf numFmtId="0" fontId="79" fillId="2" borderId="0" xfId="0" applyFont="1" applyFill="1" applyAlignment="1" applyProtection="1">
      <alignment horizontal="center" vertical="center"/>
    </xf>
    <xf numFmtId="0" fontId="80" fillId="0" borderId="0" xfId="795" applyFont="1" applyAlignment="1">
      <alignment vertical="center"/>
    </xf>
    <xf numFmtId="0" fontId="69" fillId="0" borderId="0" xfId="0" applyFont="1" applyAlignment="1">
      <alignment vertical="center"/>
    </xf>
    <xf numFmtId="0" fontId="6" fillId="0" borderId="0" xfId="686" applyFont="1" applyFill="1" applyBorder="1" applyAlignment="1" applyProtection="1">
      <alignment vertical="center"/>
    </xf>
    <xf numFmtId="0" fontId="80" fillId="0" borderId="0" xfId="800" applyFont="1" applyAlignment="1">
      <alignment vertical="center"/>
    </xf>
    <xf numFmtId="0" fontId="80" fillId="0" borderId="0" xfId="799" applyFont="1" applyAlignment="1">
      <alignment vertical="center"/>
    </xf>
    <xf numFmtId="0" fontId="80" fillId="0" borderId="0" xfId="798" applyFont="1" applyAlignment="1">
      <alignment vertical="center"/>
    </xf>
    <xf numFmtId="0" fontId="80" fillId="0" borderId="0" xfId="797" applyFont="1" applyAlignment="1">
      <alignment vertical="center"/>
    </xf>
    <xf numFmtId="0" fontId="7" fillId="0" borderId="0" xfId="686" applyFont="1" applyFill="1" applyBorder="1" applyAlignment="1" applyProtection="1">
      <alignment vertical="center"/>
    </xf>
    <xf numFmtId="3" fontId="7" fillId="3" borderId="28" xfId="0" applyNumberFormat="1" applyFont="1" applyFill="1" applyBorder="1" applyAlignment="1" applyProtection="1">
      <alignment horizontal="center" vertical="center"/>
      <protection locked="0"/>
    </xf>
    <xf numFmtId="0" fontId="7" fillId="3" borderId="28" xfId="0" applyFont="1" applyFill="1" applyBorder="1" applyProtection="1">
      <protection locked="0"/>
    </xf>
    <xf numFmtId="0" fontId="6" fillId="0" borderId="0" xfId="0" applyFont="1" applyAlignment="1" applyProtection="1">
      <alignment horizontal="center" wrapText="1"/>
    </xf>
    <xf numFmtId="168" fontId="7" fillId="3" borderId="1" xfId="0" applyNumberFormat="1" applyFont="1" applyFill="1" applyBorder="1" applyAlignment="1" applyProtection="1">
      <alignment horizontal="center"/>
      <protection locked="0"/>
    </xf>
    <xf numFmtId="168" fontId="7" fillId="3" borderId="28" xfId="0" applyNumberFormat="1" applyFont="1" applyFill="1" applyBorder="1" applyAlignment="1" applyProtection="1">
      <alignment horizontal="center"/>
      <protection locked="0"/>
    </xf>
    <xf numFmtId="167" fontId="7" fillId="0" borderId="0" xfId="0" applyNumberFormat="1" applyFont="1" applyFill="1" applyBorder="1" applyProtection="1"/>
    <xf numFmtId="49" fontId="6" fillId="0" borderId="0" xfId="0" applyNumberFormat="1" applyFont="1" applyFill="1" applyBorder="1" applyAlignment="1" applyProtection="1">
      <alignment horizontal="right" vertical="top"/>
    </xf>
    <xf numFmtId="168" fontId="7" fillId="0" borderId="9" xfId="0" applyNumberFormat="1" applyFont="1" applyFill="1" applyBorder="1" applyAlignment="1" applyProtection="1">
      <alignment horizontal="center"/>
    </xf>
    <xf numFmtId="165" fontId="7" fillId="0" borderId="0" xfId="0" applyNumberFormat="1" applyFont="1" applyAlignment="1" applyProtection="1">
      <alignment horizontal="center"/>
    </xf>
    <xf numFmtId="167" fontId="7" fillId="3" borderId="28" xfId="0" applyNumberFormat="1" applyFont="1" applyFill="1" applyBorder="1" applyProtection="1">
      <protection locked="0"/>
    </xf>
    <xf numFmtId="165" fontId="7" fillId="0" borderId="0" xfId="0" applyNumberFormat="1" applyFont="1" applyFill="1" applyAlignment="1" applyProtection="1">
      <alignment horizontal="center"/>
    </xf>
    <xf numFmtId="0" fontId="7" fillId="3" borderId="0" xfId="0" applyFont="1" applyFill="1"/>
    <xf numFmtId="0" fontId="0" fillId="3" borderId="0" xfId="0" applyFill="1"/>
    <xf numFmtId="0" fontId="7" fillId="3" borderId="28" xfId="0" applyFont="1" applyFill="1" applyBorder="1" applyAlignment="1" applyProtection="1">
      <alignment horizontal="center" vertical="center"/>
      <protection locked="0"/>
    </xf>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vertical="center"/>
    </xf>
    <xf numFmtId="0" fontId="7" fillId="0" borderId="0" xfId="0" applyNumberFormat="1" applyFont="1"/>
    <xf numFmtId="4" fontId="7" fillId="0" borderId="0" xfId="0" applyNumberFormat="1" applyFont="1"/>
    <xf numFmtId="4" fontId="7" fillId="0" borderId="0" xfId="0" applyNumberFormat="1" applyFont="1" applyAlignment="1">
      <alignment vertical="center"/>
    </xf>
    <xf numFmtId="177" fontId="7" fillId="0" borderId="0" xfId="7" quotePrefix="1" applyNumberFormat="1" applyFont="1" applyBorder="1"/>
    <xf numFmtId="0" fontId="82" fillId="0" borderId="0" xfId="0" applyFont="1" applyAlignment="1">
      <alignment wrapText="1"/>
    </xf>
    <xf numFmtId="0" fontId="0" fillId="0" borderId="0" xfId="0" applyAlignment="1">
      <alignment wrapText="1"/>
    </xf>
    <xf numFmtId="0" fontId="65" fillId="0" borderId="46" xfId="0" applyFont="1" applyBorder="1" applyAlignment="1">
      <alignment horizontal="left" vertical="top" wrapText="1" indent="1"/>
    </xf>
    <xf numFmtId="0" fontId="7" fillId="0" borderId="47" xfId="0" applyFont="1" applyBorder="1" applyAlignment="1">
      <alignment horizontal="left" vertical="top" wrapText="1" indent="1"/>
    </xf>
    <xf numFmtId="0" fontId="7" fillId="0" borderId="48" xfId="0" applyFont="1" applyBorder="1" applyAlignment="1">
      <alignment horizontal="left" vertical="top" wrapText="1" indent="1"/>
    </xf>
    <xf numFmtId="0" fontId="7" fillId="3" borderId="41" xfId="0" applyFont="1" applyFill="1" applyBorder="1" applyAlignment="1" applyProtection="1">
      <protection locked="0"/>
    </xf>
    <xf numFmtId="0" fontId="0" fillId="0" borderId="29" xfId="0" applyBorder="1" applyAlignment="1" applyProtection="1">
      <protection locked="0"/>
    </xf>
    <xf numFmtId="0" fontId="0" fillId="0" borderId="42" xfId="0" applyBorder="1" applyAlignment="1" applyProtection="1">
      <protection locked="0"/>
    </xf>
    <xf numFmtId="166" fontId="7" fillId="3" borderId="41" xfId="0" applyNumberFormat="1" applyFont="1" applyFill="1" applyBorder="1" applyAlignment="1" applyProtection="1">
      <alignment horizontal="left"/>
      <protection locked="0"/>
    </xf>
    <xf numFmtId="0" fontId="0" fillId="0" borderId="29" xfId="0" applyBorder="1" applyAlignment="1" applyProtection="1">
      <alignment horizontal="left"/>
      <protection locked="0"/>
    </xf>
    <xf numFmtId="0" fontId="0" fillId="0" borderId="42" xfId="0" applyBorder="1" applyAlignment="1" applyProtection="1">
      <alignment horizontal="left"/>
      <protection locked="0"/>
    </xf>
    <xf numFmtId="0" fontId="8" fillId="4" borderId="0" xfId="1" applyFill="1" applyBorder="1" applyAlignment="1" applyProtection="1">
      <alignment horizontal="left" vertical="center"/>
    </xf>
    <xf numFmtId="0" fontId="65" fillId="0" borderId="49" xfId="0" applyFont="1" applyFill="1" applyBorder="1" applyAlignment="1">
      <alignment horizontal="left" vertical="center" wrapText="1" indent="1"/>
    </xf>
    <xf numFmtId="0" fontId="0" fillId="0" borderId="0" xfId="0" applyBorder="1" applyAlignment="1">
      <alignment horizontal="left" vertical="center" wrapText="1" indent="1"/>
    </xf>
    <xf numFmtId="0" fontId="0" fillId="0" borderId="50" xfId="0" applyBorder="1" applyAlignment="1">
      <alignment horizontal="left" vertical="center" wrapText="1" indent="1"/>
    </xf>
    <xf numFmtId="0" fontId="65" fillId="0" borderId="51" xfId="0" applyFont="1" applyFill="1" applyBorder="1" applyAlignment="1">
      <alignment horizontal="left" vertical="center" wrapText="1" indent="1"/>
    </xf>
    <xf numFmtId="0" fontId="0" fillId="0" borderId="52" xfId="0" applyBorder="1" applyAlignment="1">
      <alignment horizontal="left" vertical="center" wrapText="1" indent="1"/>
    </xf>
    <xf numFmtId="0" fontId="0" fillId="0" borderId="53" xfId="0" applyBorder="1" applyAlignment="1">
      <alignment horizontal="left" vertical="center" wrapText="1" indent="1"/>
    </xf>
    <xf numFmtId="0" fontId="6" fillId="0" borderId="0" xfId="0" applyFont="1" applyFill="1" applyBorder="1" applyAlignment="1" applyProtection="1">
      <alignment horizontal="center"/>
    </xf>
    <xf numFmtId="0" fontId="0" fillId="0" borderId="0" xfId="0" applyAlignment="1"/>
    <xf numFmtId="178" fontId="6" fillId="0" borderId="0" xfId="0" applyNumberFormat="1" applyFont="1" applyFill="1" applyBorder="1" applyAlignment="1" applyProtection="1">
      <alignment horizontal="center" vertical="center"/>
    </xf>
    <xf numFmtId="0" fontId="7" fillId="3" borderId="55" xfId="0" applyFont="1" applyFill="1" applyBorder="1" applyAlignment="1" applyProtection="1">
      <protection locked="0"/>
    </xf>
    <xf numFmtId="0" fontId="0" fillId="3" borderId="14" xfId="0" applyFill="1" applyBorder="1" applyAlignment="1" applyProtection="1">
      <protection locked="0"/>
    </xf>
    <xf numFmtId="0" fontId="0" fillId="3" borderId="56" xfId="0" applyFill="1" applyBorder="1" applyAlignment="1" applyProtection="1">
      <protection locked="0"/>
    </xf>
  </cellXfs>
  <cellStyles count="1134">
    <cellStyle name="20 % - Accent1" xfId="71" xr:uid="{00000000-0005-0000-0000-000000000000}"/>
    <cellStyle name="20 % - Accent2" xfId="72" xr:uid="{00000000-0005-0000-0000-000001000000}"/>
    <cellStyle name="20 % - Accent3" xfId="75" xr:uid="{00000000-0005-0000-0000-000002000000}"/>
    <cellStyle name="20 % - Accent4" xfId="73" xr:uid="{00000000-0005-0000-0000-000003000000}"/>
    <cellStyle name="20 % - Accent5" xfId="74" xr:uid="{00000000-0005-0000-0000-000004000000}"/>
    <cellStyle name="20 % - Accent6" xfId="76" xr:uid="{00000000-0005-0000-0000-000005000000}"/>
    <cellStyle name="20% - Accent1 2" xfId="47" xr:uid="{00000000-0005-0000-0000-000006000000}"/>
    <cellStyle name="20% - Accent1 3" xfId="77" xr:uid="{00000000-0005-0000-0000-000007000000}"/>
    <cellStyle name="20% - Accent2 2" xfId="46" xr:uid="{00000000-0005-0000-0000-000008000000}"/>
    <cellStyle name="20% - Accent2 3" xfId="78" xr:uid="{00000000-0005-0000-0000-000009000000}"/>
    <cellStyle name="20% - Accent3 2" xfId="45" xr:uid="{00000000-0005-0000-0000-00000A000000}"/>
    <cellStyle name="20% - Accent3 3" xfId="79" xr:uid="{00000000-0005-0000-0000-00000B000000}"/>
    <cellStyle name="20% - Accent4 2" xfId="44" xr:uid="{00000000-0005-0000-0000-00000C000000}"/>
    <cellStyle name="20% - Accent4 3" xfId="80" xr:uid="{00000000-0005-0000-0000-00000D000000}"/>
    <cellStyle name="20% - Accent5 2" xfId="43" xr:uid="{00000000-0005-0000-0000-00000E000000}"/>
    <cellStyle name="20% - Accent5 3" xfId="81" xr:uid="{00000000-0005-0000-0000-00000F000000}"/>
    <cellStyle name="20% - Accent6 2" xfId="42" xr:uid="{00000000-0005-0000-0000-000010000000}"/>
    <cellStyle name="20% - Accent6 3" xfId="82" xr:uid="{00000000-0005-0000-0000-000011000000}"/>
    <cellStyle name="40 % - Accent1" xfId="83" xr:uid="{00000000-0005-0000-0000-000012000000}"/>
    <cellStyle name="40 % - Accent2" xfId="84" xr:uid="{00000000-0005-0000-0000-000013000000}"/>
    <cellStyle name="40 % - Accent3" xfId="85" xr:uid="{00000000-0005-0000-0000-000014000000}"/>
    <cellStyle name="40 % - Accent4" xfId="86" xr:uid="{00000000-0005-0000-0000-000015000000}"/>
    <cellStyle name="40 % - Accent5" xfId="87" xr:uid="{00000000-0005-0000-0000-000016000000}"/>
    <cellStyle name="40 % - Accent6" xfId="88" xr:uid="{00000000-0005-0000-0000-000017000000}"/>
    <cellStyle name="40% - Accent1 2" xfId="41" xr:uid="{00000000-0005-0000-0000-000018000000}"/>
    <cellStyle name="40% - Accent1 3" xfId="89" xr:uid="{00000000-0005-0000-0000-000019000000}"/>
    <cellStyle name="40% - Accent2 2" xfId="40" xr:uid="{00000000-0005-0000-0000-00001A000000}"/>
    <cellStyle name="40% - Accent3 2" xfId="39" xr:uid="{00000000-0005-0000-0000-00001B000000}"/>
    <cellStyle name="40% - Accent3 3" xfId="90" xr:uid="{00000000-0005-0000-0000-00001C000000}"/>
    <cellStyle name="40% - Accent4 2" xfId="38" xr:uid="{00000000-0005-0000-0000-00001D000000}"/>
    <cellStyle name="40% - Accent4 3" xfId="91" xr:uid="{00000000-0005-0000-0000-00001E000000}"/>
    <cellStyle name="40% - Accent5 2" xfId="22" xr:uid="{00000000-0005-0000-0000-00001F000000}"/>
    <cellStyle name="40% - Accent5 3" xfId="92" xr:uid="{00000000-0005-0000-0000-000020000000}"/>
    <cellStyle name="40% - Accent6 2" xfId="21" xr:uid="{00000000-0005-0000-0000-000021000000}"/>
    <cellStyle name="40% - Accent6 3" xfId="93" xr:uid="{00000000-0005-0000-0000-000022000000}"/>
    <cellStyle name="60 % - Accent1" xfId="94" xr:uid="{00000000-0005-0000-0000-000023000000}"/>
    <cellStyle name="60 % - Accent2" xfId="95" xr:uid="{00000000-0005-0000-0000-000024000000}"/>
    <cellStyle name="60 % - Accent3" xfId="96" xr:uid="{00000000-0005-0000-0000-000025000000}"/>
    <cellStyle name="60 % - Accent4" xfId="97" xr:uid="{00000000-0005-0000-0000-000026000000}"/>
    <cellStyle name="60 % - Accent5" xfId="98" xr:uid="{00000000-0005-0000-0000-000027000000}"/>
    <cellStyle name="60 % - Accent6" xfId="99" xr:uid="{00000000-0005-0000-0000-000028000000}"/>
    <cellStyle name="60% - Accent1 2" xfId="23" xr:uid="{00000000-0005-0000-0000-000029000000}"/>
    <cellStyle name="60% - Accent1 3" xfId="100" xr:uid="{00000000-0005-0000-0000-00002A000000}"/>
    <cellStyle name="60% - Accent2 2" xfId="25" xr:uid="{00000000-0005-0000-0000-00002B000000}"/>
    <cellStyle name="60% - Accent3 2" xfId="27" xr:uid="{00000000-0005-0000-0000-00002C000000}"/>
    <cellStyle name="60% - Accent3 3" xfId="101" xr:uid="{00000000-0005-0000-0000-00002D000000}"/>
    <cellStyle name="60% - Accent4 2" xfId="29" xr:uid="{00000000-0005-0000-0000-00002E000000}"/>
    <cellStyle name="60% - Accent4 3" xfId="102" xr:uid="{00000000-0005-0000-0000-00002F000000}"/>
    <cellStyle name="60% - Accent5 2" xfId="33" xr:uid="{00000000-0005-0000-0000-000030000000}"/>
    <cellStyle name="60% - Accent5 3" xfId="103" xr:uid="{00000000-0005-0000-0000-000031000000}"/>
    <cellStyle name="60% - Accent6 2" xfId="32" xr:uid="{00000000-0005-0000-0000-000032000000}"/>
    <cellStyle name="60% - Accent6 3" xfId="104" xr:uid="{00000000-0005-0000-0000-000033000000}"/>
    <cellStyle name="Accent1 2" xfId="48" xr:uid="{00000000-0005-0000-0000-000034000000}"/>
    <cellStyle name="Accent1 3" xfId="105" xr:uid="{00000000-0005-0000-0000-000035000000}"/>
    <cellStyle name="Accent2 2" xfId="49" xr:uid="{00000000-0005-0000-0000-000036000000}"/>
    <cellStyle name="Accent3 2" xfId="50" xr:uid="{00000000-0005-0000-0000-000037000000}"/>
    <cellStyle name="Accent4 2" xfId="51" xr:uid="{00000000-0005-0000-0000-000038000000}"/>
    <cellStyle name="Accent4 3" xfId="106" xr:uid="{00000000-0005-0000-0000-000039000000}"/>
    <cellStyle name="Accent5 2" xfId="52" xr:uid="{00000000-0005-0000-0000-00003A000000}"/>
    <cellStyle name="Accent6 2" xfId="53" xr:uid="{00000000-0005-0000-0000-00003B000000}"/>
    <cellStyle name="Accent6 3" xfId="107" xr:uid="{00000000-0005-0000-0000-00003C000000}"/>
    <cellStyle name="Actual Date" xfId="108" xr:uid="{00000000-0005-0000-0000-00003D000000}"/>
    <cellStyle name="Avertissement" xfId="109" xr:uid="{00000000-0005-0000-0000-00003E000000}"/>
    <cellStyle name="Bad 2" xfId="54" xr:uid="{00000000-0005-0000-0000-00003F000000}"/>
    <cellStyle name="Bad 3" xfId="110" xr:uid="{00000000-0005-0000-0000-000040000000}"/>
    <cellStyle name="balances" xfId="111" xr:uid="{00000000-0005-0000-0000-000041000000}"/>
    <cellStyle name="Calcul" xfId="112" xr:uid="{00000000-0005-0000-0000-000042000000}"/>
    <cellStyle name="Calcul 2" xfId="113" xr:uid="{00000000-0005-0000-0000-000043000000}"/>
    <cellStyle name="Calcul 2 2" xfId="824" xr:uid="{00000000-0005-0000-0000-000044000000}"/>
    <cellStyle name="Calcul 3" xfId="823" xr:uid="{00000000-0005-0000-0000-000045000000}"/>
    <cellStyle name="Calculation 2" xfId="55" xr:uid="{00000000-0005-0000-0000-000046000000}"/>
    <cellStyle name="Calculation 2 2" xfId="114" xr:uid="{00000000-0005-0000-0000-000047000000}"/>
    <cellStyle name="Calculation 2 2 2" xfId="825" xr:uid="{00000000-0005-0000-0000-000048000000}"/>
    <cellStyle name="Calculation 2 3" xfId="818" xr:uid="{00000000-0005-0000-0000-000049000000}"/>
    <cellStyle name="Calculation 3" xfId="115" xr:uid="{00000000-0005-0000-0000-00004A000000}"/>
    <cellStyle name="Calculation 3 2" xfId="826" xr:uid="{00000000-0005-0000-0000-00004B000000}"/>
    <cellStyle name="Calculation 4" xfId="116" xr:uid="{00000000-0005-0000-0000-00004C000000}"/>
    <cellStyle name="Calculation 4 2" xfId="827" xr:uid="{00000000-0005-0000-0000-00004D000000}"/>
    <cellStyle name="Cellule liée" xfId="117" xr:uid="{00000000-0005-0000-0000-00004E000000}"/>
    <cellStyle name="Check Cell 2" xfId="56" xr:uid="{00000000-0005-0000-0000-00004F000000}"/>
    <cellStyle name="Comma 2" xfId="118" xr:uid="{00000000-0005-0000-0000-000050000000}"/>
    <cellStyle name="Comma 3" xfId="119" xr:uid="{00000000-0005-0000-0000-000051000000}"/>
    <cellStyle name="Comma 3 2" xfId="120" xr:uid="{00000000-0005-0000-0000-000052000000}"/>
    <cellStyle name="Comma 3 3" xfId="121" xr:uid="{00000000-0005-0000-0000-000053000000}"/>
    <cellStyle name="Comma 4" xfId="122" xr:uid="{00000000-0005-0000-0000-000054000000}"/>
    <cellStyle name="Comma 4 2" xfId="123" xr:uid="{00000000-0005-0000-0000-000055000000}"/>
    <cellStyle name="Comma 4 3" xfId="124" xr:uid="{00000000-0005-0000-0000-000056000000}"/>
    <cellStyle name="Comma 5" xfId="125" xr:uid="{00000000-0005-0000-0000-000057000000}"/>
    <cellStyle name="Comma 5 2" xfId="126" xr:uid="{00000000-0005-0000-0000-000058000000}"/>
    <cellStyle name="Comma 6" xfId="127" xr:uid="{00000000-0005-0000-0000-000059000000}"/>
    <cellStyle name="Comma 6 2" xfId="128" xr:uid="{00000000-0005-0000-0000-00005A000000}"/>
    <cellStyle name="Comma 6 3" xfId="129" xr:uid="{00000000-0005-0000-0000-00005B000000}"/>
    <cellStyle name="Comma 6 4" xfId="130" xr:uid="{00000000-0005-0000-0000-00005C000000}"/>
    <cellStyle name="Comma 6 5" xfId="131" xr:uid="{00000000-0005-0000-0000-00005D000000}"/>
    <cellStyle name="Comma 7" xfId="132" xr:uid="{00000000-0005-0000-0000-00005E000000}"/>
    <cellStyle name="Commentaire" xfId="133" xr:uid="{00000000-0005-0000-0000-00005F000000}"/>
    <cellStyle name="Commentaire 2" xfId="134" xr:uid="{00000000-0005-0000-0000-000060000000}"/>
    <cellStyle name="Commentaire 2 2" xfId="829" xr:uid="{00000000-0005-0000-0000-000061000000}"/>
    <cellStyle name="Commentaire 3" xfId="828" xr:uid="{00000000-0005-0000-0000-000062000000}"/>
    <cellStyle name="Currency 2" xfId="135" xr:uid="{00000000-0005-0000-0000-000063000000}"/>
    <cellStyle name="Currency 3" xfId="136" xr:uid="{00000000-0005-0000-0000-000064000000}"/>
    <cellStyle name="Currency 4" xfId="137" xr:uid="{00000000-0005-0000-0000-000065000000}"/>
    <cellStyle name="Date" xfId="138" xr:uid="{00000000-0005-0000-0000-000066000000}"/>
    <cellStyle name="Entrée" xfId="139" xr:uid="{00000000-0005-0000-0000-000067000000}"/>
    <cellStyle name="Entrée 2" xfId="140" xr:uid="{00000000-0005-0000-0000-000068000000}"/>
    <cellStyle name="Entrée 2 2" xfId="831" xr:uid="{00000000-0005-0000-0000-000069000000}"/>
    <cellStyle name="Entrée 3" xfId="830" xr:uid="{00000000-0005-0000-0000-00006A000000}"/>
    <cellStyle name="Excel.Chart" xfId="141" xr:uid="{00000000-0005-0000-0000-00006B000000}"/>
    <cellStyle name="Explanatory Text 2" xfId="57" xr:uid="{00000000-0005-0000-0000-00006C000000}"/>
    <cellStyle name="Fixed" xfId="142" xr:uid="{00000000-0005-0000-0000-00006D000000}"/>
    <cellStyle name="Good 2" xfId="58" xr:uid="{00000000-0005-0000-0000-00006E000000}"/>
    <cellStyle name="Grey" xfId="143" xr:uid="{00000000-0005-0000-0000-00006F000000}"/>
    <cellStyle name="HEADER" xfId="144" xr:uid="{00000000-0005-0000-0000-000070000000}"/>
    <cellStyle name="Header1" xfId="145" xr:uid="{00000000-0005-0000-0000-000071000000}"/>
    <cellStyle name="Header2" xfId="146" xr:uid="{00000000-0005-0000-0000-000072000000}"/>
    <cellStyle name="Header2 2" xfId="147" xr:uid="{00000000-0005-0000-0000-000073000000}"/>
    <cellStyle name="Header2 2 2" xfId="833" xr:uid="{00000000-0005-0000-0000-000074000000}"/>
    <cellStyle name="Header2 2 3" xfId="1007" xr:uid="{00000000-0005-0000-0000-000075000000}"/>
    <cellStyle name="Header2 3" xfId="148" xr:uid="{00000000-0005-0000-0000-000076000000}"/>
    <cellStyle name="Header2 3 2" xfId="834" xr:uid="{00000000-0005-0000-0000-000077000000}"/>
    <cellStyle name="Header2 3 3" xfId="1008" xr:uid="{00000000-0005-0000-0000-000078000000}"/>
    <cellStyle name="Header2 4" xfId="832" xr:uid="{00000000-0005-0000-0000-000079000000}"/>
    <cellStyle name="Header2 5" xfId="1006" xr:uid="{00000000-0005-0000-0000-00007A000000}"/>
    <cellStyle name="Heading 1 2" xfId="59" xr:uid="{00000000-0005-0000-0000-00007B000000}"/>
    <cellStyle name="Heading 1 3" xfId="149" xr:uid="{00000000-0005-0000-0000-00007C000000}"/>
    <cellStyle name="Heading 2 2" xfId="60" xr:uid="{00000000-0005-0000-0000-00007D000000}"/>
    <cellStyle name="Heading 2 3" xfId="150" xr:uid="{00000000-0005-0000-0000-00007E000000}"/>
    <cellStyle name="Heading 3 2" xfId="61" xr:uid="{00000000-0005-0000-0000-00007F000000}"/>
    <cellStyle name="Heading 3 3" xfId="151" xr:uid="{00000000-0005-0000-0000-000080000000}"/>
    <cellStyle name="Heading 4 2" xfId="62" xr:uid="{00000000-0005-0000-0000-000081000000}"/>
    <cellStyle name="Heading 4 3" xfId="152" xr:uid="{00000000-0005-0000-0000-000082000000}"/>
    <cellStyle name="Heading1" xfId="153" xr:uid="{00000000-0005-0000-0000-000083000000}"/>
    <cellStyle name="Heading2" xfId="154" xr:uid="{00000000-0005-0000-0000-000084000000}"/>
    <cellStyle name="HIGHLIGHT" xfId="155" xr:uid="{00000000-0005-0000-0000-000085000000}"/>
    <cellStyle name="Hyperlink" xfId="1" builtinId="8"/>
    <cellStyle name="Hyperlink 2" xfId="2" xr:uid="{00000000-0005-0000-0000-000087000000}"/>
    <cellStyle name="Hyperlink 2 2" xfId="6" xr:uid="{00000000-0005-0000-0000-000088000000}"/>
    <cellStyle name="Hyperlink 2 3" xfId="156" xr:uid="{00000000-0005-0000-0000-000089000000}"/>
    <cellStyle name="Hyperlink 2 4" xfId="157" xr:uid="{00000000-0005-0000-0000-00008A000000}"/>
    <cellStyle name="Hyperlink 2 5" xfId="158" xr:uid="{00000000-0005-0000-0000-00008B000000}"/>
    <cellStyle name="Hyperlink 2 6" xfId="159" xr:uid="{00000000-0005-0000-0000-00008C000000}"/>
    <cellStyle name="Hyperlink 3" xfId="160" xr:uid="{00000000-0005-0000-0000-00008D000000}"/>
    <cellStyle name="Hyperlink 4" xfId="161" xr:uid="{00000000-0005-0000-0000-00008E000000}"/>
    <cellStyle name="Hyperlink 4 2" xfId="162" xr:uid="{00000000-0005-0000-0000-00008F000000}"/>
    <cellStyle name="Hyperlink 4 3" xfId="163" xr:uid="{00000000-0005-0000-0000-000090000000}"/>
    <cellStyle name="Hyperlink 5" xfId="164" xr:uid="{00000000-0005-0000-0000-000091000000}"/>
    <cellStyle name="Hyperlink 5 2" xfId="165" xr:uid="{00000000-0005-0000-0000-000092000000}"/>
    <cellStyle name="Hyperlink 5 3" xfId="166" xr:uid="{00000000-0005-0000-0000-000093000000}"/>
    <cellStyle name="Hyperlink 6" xfId="167" xr:uid="{00000000-0005-0000-0000-000094000000}"/>
    <cellStyle name="Hyperlink 6 2" xfId="168" xr:uid="{00000000-0005-0000-0000-000095000000}"/>
    <cellStyle name="Hyperlink 6 3" xfId="169" xr:uid="{00000000-0005-0000-0000-000096000000}"/>
    <cellStyle name="Input [yellow]" xfId="170" xr:uid="{00000000-0005-0000-0000-000097000000}"/>
    <cellStyle name="Input [yellow] 2" xfId="171" xr:uid="{00000000-0005-0000-0000-000098000000}"/>
    <cellStyle name="Input [yellow] 2 2" xfId="172" xr:uid="{00000000-0005-0000-0000-000099000000}"/>
    <cellStyle name="Input [yellow] 2 3" xfId="173" xr:uid="{00000000-0005-0000-0000-00009A000000}"/>
    <cellStyle name="Input [yellow] 3" xfId="174" xr:uid="{00000000-0005-0000-0000-00009B000000}"/>
    <cellStyle name="Input [yellow] 3 2" xfId="175" xr:uid="{00000000-0005-0000-0000-00009C000000}"/>
    <cellStyle name="Input [yellow] 3 3" xfId="176" xr:uid="{00000000-0005-0000-0000-00009D000000}"/>
    <cellStyle name="Input [yellow] 4" xfId="177" xr:uid="{00000000-0005-0000-0000-00009E000000}"/>
    <cellStyle name="Input [yellow] 5" xfId="178" xr:uid="{00000000-0005-0000-0000-00009F000000}"/>
    <cellStyle name="Input 10" xfId="179" xr:uid="{00000000-0005-0000-0000-0000A0000000}"/>
    <cellStyle name="Input 10 2" xfId="835" xr:uid="{00000000-0005-0000-0000-0000A1000000}"/>
    <cellStyle name="Input 11" xfId="180" xr:uid="{00000000-0005-0000-0000-0000A2000000}"/>
    <cellStyle name="Input 11 2" xfId="836" xr:uid="{00000000-0005-0000-0000-0000A3000000}"/>
    <cellStyle name="Input 12" xfId="181" xr:uid="{00000000-0005-0000-0000-0000A4000000}"/>
    <cellStyle name="Input 12 2" xfId="837" xr:uid="{00000000-0005-0000-0000-0000A5000000}"/>
    <cellStyle name="Input 13" xfId="182" xr:uid="{00000000-0005-0000-0000-0000A6000000}"/>
    <cellStyle name="Input 13 2" xfId="838" xr:uid="{00000000-0005-0000-0000-0000A7000000}"/>
    <cellStyle name="Input 14" xfId="183" xr:uid="{00000000-0005-0000-0000-0000A8000000}"/>
    <cellStyle name="Input 14 2" xfId="839" xr:uid="{00000000-0005-0000-0000-0000A9000000}"/>
    <cellStyle name="Input 15" xfId="184" xr:uid="{00000000-0005-0000-0000-0000AA000000}"/>
    <cellStyle name="Input 15 2" xfId="840" xr:uid="{00000000-0005-0000-0000-0000AB000000}"/>
    <cellStyle name="Input 16" xfId="185" xr:uid="{00000000-0005-0000-0000-0000AC000000}"/>
    <cellStyle name="Input 16 2" xfId="841" xr:uid="{00000000-0005-0000-0000-0000AD000000}"/>
    <cellStyle name="Input 17" xfId="186" xr:uid="{00000000-0005-0000-0000-0000AE000000}"/>
    <cellStyle name="Input 17 2" xfId="842" xr:uid="{00000000-0005-0000-0000-0000AF000000}"/>
    <cellStyle name="Input 18" xfId="187" xr:uid="{00000000-0005-0000-0000-0000B0000000}"/>
    <cellStyle name="Input 18 2" xfId="843" xr:uid="{00000000-0005-0000-0000-0000B1000000}"/>
    <cellStyle name="Input 19" xfId="188" xr:uid="{00000000-0005-0000-0000-0000B2000000}"/>
    <cellStyle name="Input 19 2" xfId="844" xr:uid="{00000000-0005-0000-0000-0000B3000000}"/>
    <cellStyle name="Input 2" xfId="63" xr:uid="{00000000-0005-0000-0000-0000B4000000}"/>
    <cellStyle name="Input 2 2" xfId="189" xr:uid="{00000000-0005-0000-0000-0000B5000000}"/>
    <cellStyle name="Input 2 2 2" xfId="845" xr:uid="{00000000-0005-0000-0000-0000B6000000}"/>
    <cellStyle name="Input 2 3" xfId="819" xr:uid="{00000000-0005-0000-0000-0000B7000000}"/>
    <cellStyle name="Input 20" xfId="190" xr:uid="{00000000-0005-0000-0000-0000B8000000}"/>
    <cellStyle name="Input 20 2" xfId="846" xr:uid="{00000000-0005-0000-0000-0000B9000000}"/>
    <cellStyle name="Input 21" xfId="191" xr:uid="{00000000-0005-0000-0000-0000BA000000}"/>
    <cellStyle name="Input 21 2" xfId="847" xr:uid="{00000000-0005-0000-0000-0000BB000000}"/>
    <cellStyle name="Input 3" xfId="192" xr:uid="{00000000-0005-0000-0000-0000BC000000}"/>
    <cellStyle name="Input 3 2" xfId="193" xr:uid="{00000000-0005-0000-0000-0000BD000000}"/>
    <cellStyle name="Input 3 2 2" xfId="849" xr:uid="{00000000-0005-0000-0000-0000BE000000}"/>
    <cellStyle name="Input 3 3" xfId="848" xr:uid="{00000000-0005-0000-0000-0000BF000000}"/>
    <cellStyle name="Input 4" xfId="194" xr:uid="{00000000-0005-0000-0000-0000C0000000}"/>
    <cellStyle name="Input 4 2" xfId="850" xr:uid="{00000000-0005-0000-0000-0000C1000000}"/>
    <cellStyle name="Input 5" xfId="195" xr:uid="{00000000-0005-0000-0000-0000C2000000}"/>
    <cellStyle name="Input 5 2" xfId="851" xr:uid="{00000000-0005-0000-0000-0000C3000000}"/>
    <cellStyle name="Input 6" xfId="196" xr:uid="{00000000-0005-0000-0000-0000C4000000}"/>
    <cellStyle name="Input 6 2" xfId="852" xr:uid="{00000000-0005-0000-0000-0000C5000000}"/>
    <cellStyle name="Input 7" xfId="197" xr:uid="{00000000-0005-0000-0000-0000C6000000}"/>
    <cellStyle name="Input 7 2" xfId="853" xr:uid="{00000000-0005-0000-0000-0000C7000000}"/>
    <cellStyle name="Input 8" xfId="198" xr:uid="{00000000-0005-0000-0000-0000C8000000}"/>
    <cellStyle name="Input 8 2" xfId="854" xr:uid="{00000000-0005-0000-0000-0000C9000000}"/>
    <cellStyle name="Input 9" xfId="199" xr:uid="{00000000-0005-0000-0000-0000CA000000}"/>
    <cellStyle name="Input 9 2" xfId="855" xr:uid="{00000000-0005-0000-0000-0000CB000000}"/>
    <cellStyle name="Insatisfaisant" xfId="200" xr:uid="{00000000-0005-0000-0000-0000CC000000}"/>
    <cellStyle name="Linked Cell 2" xfId="64" xr:uid="{00000000-0005-0000-0000-0000CD000000}"/>
    <cellStyle name="Linked Cell 3" xfId="201" xr:uid="{00000000-0005-0000-0000-0000CE000000}"/>
    <cellStyle name="Milliers 2" xfId="202" xr:uid="{00000000-0005-0000-0000-0000CF000000}"/>
    <cellStyle name="Neutral 2" xfId="65" xr:uid="{00000000-0005-0000-0000-0000D0000000}"/>
    <cellStyle name="Neutral 3" xfId="203" xr:uid="{00000000-0005-0000-0000-0000D1000000}"/>
    <cellStyle name="Neutre" xfId="204" xr:uid="{00000000-0005-0000-0000-0000D2000000}"/>
    <cellStyle name="no dec" xfId="205" xr:uid="{00000000-0005-0000-0000-0000D3000000}"/>
    <cellStyle name="Normal" xfId="0" builtinId="0"/>
    <cellStyle name="Normal - Style1" xfId="206" xr:uid="{00000000-0005-0000-0000-0000D5000000}"/>
    <cellStyle name="Normal 10" xfId="207" xr:uid="{00000000-0005-0000-0000-0000D6000000}"/>
    <cellStyle name="Normal 10 2" xfId="7" xr:uid="{00000000-0005-0000-0000-0000D7000000}"/>
    <cellStyle name="Normal 10 3" xfId="208" xr:uid="{00000000-0005-0000-0000-0000D8000000}"/>
    <cellStyle name="Normal 10 4" xfId="856" xr:uid="{00000000-0005-0000-0000-0000D9000000}"/>
    <cellStyle name="Normal 10 5" xfId="1009" xr:uid="{00000000-0005-0000-0000-0000DA000000}"/>
    <cellStyle name="Normal 10 6" xfId="703" xr:uid="{00000000-0005-0000-0000-0000DB000000}"/>
    <cellStyle name="Normal 100" xfId="209" xr:uid="{00000000-0005-0000-0000-0000DC000000}"/>
    <cellStyle name="Normal 101" xfId="210" xr:uid="{00000000-0005-0000-0000-0000DD000000}"/>
    <cellStyle name="Normal 102" xfId="211" xr:uid="{00000000-0005-0000-0000-0000DE000000}"/>
    <cellStyle name="Normal 103" xfId="212" xr:uid="{00000000-0005-0000-0000-0000DF000000}"/>
    <cellStyle name="Normal 104" xfId="213" xr:uid="{00000000-0005-0000-0000-0000E0000000}"/>
    <cellStyle name="Normal 105" xfId="214" xr:uid="{00000000-0005-0000-0000-0000E1000000}"/>
    <cellStyle name="Normal 106" xfId="215" xr:uid="{00000000-0005-0000-0000-0000E2000000}"/>
    <cellStyle name="Normal 107" xfId="216" xr:uid="{00000000-0005-0000-0000-0000E3000000}"/>
    <cellStyle name="Normal 108" xfId="217" xr:uid="{00000000-0005-0000-0000-0000E4000000}"/>
    <cellStyle name="Normal 109" xfId="218" xr:uid="{00000000-0005-0000-0000-0000E5000000}"/>
    <cellStyle name="Normal 11" xfId="219" xr:uid="{00000000-0005-0000-0000-0000E6000000}"/>
    <cellStyle name="Normal 11 2" xfId="220" xr:uid="{00000000-0005-0000-0000-0000E7000000}"/>
    <cellStyle name="Normal 11 3" xfId="221" xr:uid="{00000000-0005-0000-0000-0000E8000000}"/>
    <cellStyle name="Normal 11 4" xfId="857" xr:uid="{00000000-0005-0000-0000-0000E9000000}"/>
    <cellStyle name="Normal 11 5" xfId="1010" xr:uid="{00000000-0005-0000-0000-0000EA000000}"/>
    <cellStyle name="Normal 11 6" xfId="704" xr:uid="{00000000-0005-0000-0000-0000EB000000}"/>
    <cellStyle name="Normal 110" xfId="222" xr:uid="{00000000-0005-0000-0000-0000EC000000}"/>
    <cellStyle name="Normal 110 2" xfId="858" xr:uid="{00000000-0005-0000-0000-0000ED000000}"/>
    <cellStyle name="Normal 110 3" xfId="1011" xr:uid="{00000000-0005-0000-0000-0000EE000000}"/>
    <cellStyle name="Normal 110 4" xfId="705" xr:uid="{00000000-0005-0000-0000-0000EF000000}"/>
    <cellStyle name="Normal 111" xfId="223" xr:uid="{00000000-0005-0000-0000-0000F0000000}"/>
    <cellStyle name="Normal 111 2" xfId="859" xr:uid="{00000000-0005-0000-0000-0000F1000000}"/>
    <cellStyle name="Normal 111 3" xfId="1012" xr:uid="{00000000-0005-0000-0000-0000F2000000}"/>
    <cellStyle name="Normal 111 4" xfId="706" xr:uid="{00000000-0005-0000-0000-0000F3000000}"/>
    <cellStyle name="Normal 112" xfId="224" xr:uid="{00000000-0005-0000-0000-0000F4000000}"/>
    <cellStyle name="Normal 112 2" xfId="860" xr:uid="{00000000-0005-0000-0000-0000F5000000}"/>
    <cellStyle name="Normal 112 3" xfId="1013" xr:uid="{00000000-0005-0000-0000-0000F6000000}"/>
    <cellStyle name="Normal 112 4" xfId="707" xr:uid="{00000000-0005-0000-0000-0000F7000000}"/>
    <cellStyle name="Normal 113" xfId="225" xr:uid="{00000000-0005-0000-0000-0000F8000000}"/>
    <cellStyle name="Normal 113 2" xfId="861" xr:uid="{00000000-0005-0000-0000-0000F9000000}"/>
    <cellStyle name="Normal 113 3" xfId="1014" xr:uid="{00000000-0005-0000-0000-0000FA000000}"/>
    <cellStyle name="Normal 113 4" xfId="708" xr:uid="{00000000-0005-0000-0000-0000FB000000}"/>
    <cellStyle name="Normal 114" xfId="226" xr:uid="{00000000-0005-0000-0000-0000FC000000}"/>
    <cellStyle name="Normal 114 2" xfId="862" xr:uid="{00000000-0005-0000-0000-0000FD000000}"/>
    <cellStyle name="Normal 114 3" xfId="1015" xr:uid="{00000000-0005-0000-0000-0000FE000000}"/>
    <cellStyle name="Normal 114 4" xfId="709" xr:uid="{00000000-0005-0000-0000-0000FF000000}"/>
    <cellStyle name="Normal 115" xfId="227" xr:uid="{00000000-0005-0000-0000-000000010000}"/>
    <cellStyle name="Normal 115 2" xfId="863" xr:uid="{00000000-0005-0000-0000-000001010000}"/>
    <cellStyle name="Normal 115 3" xfId="1016" xr:uid="{00000000-0005-0000-0000-000002010000}"/>
    <cellStyle name="Normal 115 4" xfId="710" xr:uid="{00000000-0005-0000-0000-000003010000}"/>
    <cellStyle name="Normal 116" xfId="228" xr:uid="{00000000-0005-0000-0000-000004010000}"/>
    <cellStyle name="Normal 116 2" xfId="864" xr:uid="{00000000-0005-0000-0000-000005010000}"/>
    <cellStyle name="Normal 116 3" xfId="1017" xr:uid="{00000000-0005-0000-0000-000006010000}"/>
    <cellStyle name="Normal 116 4" xfId="711" xr:uid="{00000000-0005-0000-0000-000007010000}"/>
    <cellStyle name="Normal 117" xfId="229" xr:uid="{00000000-0005-0000-0000-000008010000}"/>
    <cellStyle name="Normal 118" xfId="230" xr:uid="{00000000-0005-0000-0000-000009010000}"/>
    <cellStyle name="Normal 119" xfId="231" xr:uid="{00000000-0005-0000-0000-00000A010000}"/>
    <cellStyle name="Normal 12" xfId="8" xr:uid="{00000000-0005-0000-0000-00000B010000}"/>
    <cellStyle name="Normal 12 2" xfId="9" xr:uid="{00000000-0005-0000-0000-00000C010000}"/>
    <cellStyle name="Normal 12 3" xfId="24" xr:uid="{00000000-0005-0000-0000-00000D010000}"/>
    <cellStyle name="Normal 12 3 2" xfId="232" xr:uid="{00000000-0005-0000-0000-00000E010000}"/>
    <cellStyle name="Normal 12 3 3" xfId="811" xr:uid="{00000000-0005-0000-0000-00000F010000}"/>
    <cellStyle name="Normal 12 3 4" xfId="999" xr:uid="{00000000-0005-0000-0000-000010010000}"/>
    <cellStyle name="Normal 12 3 5" xfId="696" xr:uid="{00000000-0005-0000-0000-000011010000}"/>
    <cellStyle name="Normal 12 4" xfId="677" xr:uid="{00000000-0005-0000-0000-000012010000}"/>
    <cellStyle name="Normal 12 4 2" xfId="976" xr:uid="{00000000-0005-0000-0000-000013010000}"/>
    <cellStyle name="Normal 12 4 3" xfId="1120" xr:uid="{00000000-0005-0000-0000-000014010000}"/>
    <cellStyle name="Normal 12 4 4" xfId="788" xr:uid="{00000000-0005-0000-0000-000015010000}"/>
    <cellStyle name="Normal 12 5" xfId="804" xr:uid="{00000000-0005-0000-0000-000016010000}"/>
    <cellStyle name="Normal 12 6" xfId="992" xr:uid="{00000000-0005-0000-0000-000017010000}"/>
    <cellStyle name="Normal 12 7" xfId="689" xr:uid="{00000000-0005-0000-0000-000018010000}"/>
    <cellStyle name="Normal 120" xfId="233" xr:uid="{00000000-0005-0000-0000-000019010000}"/>
    <cellStyle name="Normal 121" xfId="234" xr:uid="{00000000-0005-0000-0000-00001A010000}"/>
    <cellStyle name="Normal 122" xfId="235" xr:uid="{00000000-0005-0000-0000-00001B010000}"/>
    <cellStyle name="Normal 123" xfId="236" xr:uid="{00000000-0005-0000-0000-00001C010000}"/>
    <cellStyle name="Normal 124" xfId="237" xr:uid="{00000000-0005-0000-0000-00001D010000}"/>
    <cellStyle name="Normal 125" xfId="238" xr:uid="{00000000-0005-0000-0000-00001E010000}"/>
    <cellStyle name="Normal 126" xfId="239" xr:uid="{00000000-0005-0000-0000-00001F010000}"/>
    <cellStyle name="Normal 127" xfId="240" xr:uid="{00000000-0005-0000-0000-000020010000}"/>
    <cellStyle name="Normal 128" xfId="241" xr:uid="{00000000-0005-0000-0000-000021010000}"/>
    <cellStyle name="Normal 129" xfId="242" xr:uid="{00000000-0005-0000-0000-000022010000}"/>
    <cellStyle name="Normal 13" xfId="10" xr:uid="{00000000-0005-0000-0000-000023010000}"/>
    <cellStyle name="Normal 13 2" xfId="26" xr:uid="{00000000-0005-0000-0000-000024010000}"/>
    <cellStyle name="Normal 13 2 2" xfId="243" xr:uid="{00000000-0005-0000-0000-000025010000}"/>
    <cellStyle name="Normal 13 2 3" xfId="812" xr:uid="{00000000-0005-0000-0000-000026010000}"/>
    <cellStyle name="Normal 13 2 4" xfId="1000" xr:uid="{00000000-0005-0000-0000-000027010000}"/>
    <cellStyle name="Normal 13 2 5" xfId="697" xr:uid="{00000000-0005-0000-0000-000028010000}"/>
    <cellStyle name="Normal 13 3" xfId="244" xr:uid="{00000000-0005-0000-0000-000029010000}"/>
    <cellStyle name="Normal 13 4" xfId="678" xr:uid="{00000000-0005-0000-0000-00002A010000}"/>
    <cellStyle name="Normal 13 4 2" xfId="977" xr:uid="{00000000-0005-0000-0000-00002B010000}"/>
    <cellStyle name="Normal 13 4 3" xfId="1121" xr:uid="{00000000-0005-0000-0000-00002C010000}"/>
    <cellStyle name="Normal 13 4 4" xfId="789" xr:uid="{00000000-0005-0000-0000-00002D010000}"/>
    <cellStyle name="Normal 13 5" xfId="805" xr:uid="{00000000-0005-0000-0000-00002E010000}"/>
    <cellStyle name="Normal 13 6" xfId="993" xr:uid="{00000000-0005-0000-0000-00002F010000}"/>
    <cellStyle name="Normal 13 7" xfId="690" xr:uid="{00000000-0005-0000-0000-000030010000}"/>
    <cellStyle name="Normal 130" xfId="245" xr:uid="{00000000-0005-0000-0000-000031010000}"/>
    <cellStyle name="Normal 131" xfId="246" xr:uid="{00000000-0005-0000-0000-000032010000}"/>
    <cellStyle name="Normal 132" xfId="247" xr:uid="{00000000-0005-0000-0000-000033010000}"/>
    <cellStyle name="Normal 133" xfId="248" xr:uid="{00000000-0005-0000-0000-000034010000}"/>
    <cellStyle name="Normal 134" xfId="249" xr:uid="{00000000-0005-0000-0000-000035010000}"/>
    <cellStyle name="Normal 135" xfId="250" xr:uid="{00000000-0005-0000-0000-000036010000}"/>
    <cellStyle name="Normal 135 2" xfId="865" xr:uid="{00000000-0005-0000-0000-000037010000}"/>
    <cellStyle name="Normal 135 3" xfId="1018" xr:uid="{00000000-0005-0000-0000-000038010000}"/>
    <cellStyle name="Normal 135 4" xfId="712" xr:uid="{00000000-0005-0000-0000-000039010000}"/>
    <cellStyle name="Normal 136" xfId="251" xr:uid="{00000000-0005-0000-0000-00003A010000}"/>
    <cellStyle name="Normal 137" xfId="252" xr:uid="{00000000-0005-0000-0000-00003B010000}"/>
    <cellStyle name="Normal 138" xfId="253" xr:uid="{00000000-0005-0000-0000-00003C010000}"/>
    <cellStyle name="Normal 139" xfId="254" xr:uid="{00000000-0005-0000-0000-00003D010000}"/>
    <cellStyle name="Normal 14" xfId="255" xr:uid="{00000000-0005-0000-0000-00003E010000}"/>
    <cellStyle name="Normal 14 2" xfId="11" xr:uid="{00000000-0005-0000-0000-00003F010000}"/>
    <cellStyle name="Normal 14 3" xfId="256" xr:uid="{00000000-0005-0000-0000-000040010000}"/>
    <cellStyle name="Normal 14 4" xfId="866" xr:uid="{00000000-0005-0000-0000-000041010000}"/>
    <cellStyle name="Normal 14 5" xfId="1019" xr:uid="{00000000-0005-0000-0000-000042010000}"/>
    <cellStyle name="Normal 14 6" xfId="713" xr:uid="{00000000-0005-0000-0000-000043010000}"/>
    <cellStyle name="Normal 140" xfId="257" xr:uid="{00000000-0005-0000-0000-000044010000}"/>
    <cellStyle name="Normal 141" xfId="258" xr:uid="{00000000-0005-0000-0000-000045010000}"/>
    <cellStyle name="Normal 142" xfId="259" xr:uid="{00000000-0005-0000-0000-000046010000}"/>
    <cellStyle name="Normal 143" xfId="260" xr:uid="{00000000-0005-0000-0000-000047010000}"/>
    <cellStyle name="Normal 144" xfId="676" xr:uid="{00000000-0005-0000-0000-000048010000}"/>
    <cellStyle name="Normal 145" xfId="684" xr:uid="{00000000-0005-0000-0000-000049010000}"/>
    <cellStyle name="Normal 146" xfId="685" xr:uid="{00000000-0005-0000-0000-00004A010000}"/>
    <cellStyle name="Normal 147" xfId="795" xr:uid="{00000000-0005-0000-0000-00004B010000}"/>
    <cellStyle name="Normal 147 2" xfId="983" xr:uid="{00000000-0005-0000-0000-00004C010000}"/>
    <cellStyle name="Normal 147 3" xfId="1127" xr:uid="{00000000-0005-0000-0000-00004D010000}"/>
    <cellStyle name="Normal 148" xfId="797" xr:uid="{00000000-0005-0000-0000-00004E010000}"/>
    <cellStyle name="Normal 148 2" xfId="985" xr:uid="{00000000-0005-0000-0000-00004F010000}"/>
    <cellStyle name="Normal 148 3" xfId="1129" xr:uid="{00000000-0005-0000-0000-000050010000}"/>
    <cellStyle name="Normal 149" xfId="798" xr:uid="{00000000-0005-0000-0000-000051010000}"/>
    <cellStyle name="Normal 149 2" xfId="986" xr:uid="{00000000-0005-0000-0000-000052010000}"/>
    <cellStyle name="Normal 149 3" xfId="1130" xr:uid="{00000000-0005-0000-0000-000053010000}"/>
    <cellStyle name="Normal 15" xfId="261" xr:uid="{00000000-0005-0000-0000-000054010000}"/>
    <cellStyle name="Normal 15 2" xfId="262" xr:uid="{00000000-0005-0000-0000-000055010000}"/>
    <cellStyle name="Normal 15 3" xfId="263" xr:uid="{00000000-0005-0000-0000-000056010000}"/>
    <cellStyle name="Normal 15 4" xfId="867" xr:uid="{00000000-0005-0000-0000-000057010000}"/>
    <cellStyle name="Normal 15 5" xfId="1020" xr:uid="{00000000-0005-0000-0000-000058010000}"/>
    <cellStyle name="Normal 15 6" xfId="714" xr:uid="{00000000-0005-0000-0000-000059010000}"/>
    <cellStyle name="Normal 150" xfId="799" xr:uid="{00000000-0005-0000-0000-00005A010000}"/>
    <cellStyle name="Normal 150 2" xfId="987" xr:uid="{00000000-0005-0000-0000-00005B010000}"/>
    <cellStyle name="Normal 150 3" xfId="1131" xr:uid="{00000000-0005-0000-0000-00005C010000}"/>
    <cellStyle name="Normal 151" xfId="800" xr:uid="{00000000-0005-0000-0000-00005D010000}"/>
    <cellStyle name="Normal 151 2" xfId="988" xr:uid="{00000000-0005-0000-0000-00005E010000}"/>
    <cellStyle name="Normal 151 3" xfId="1132" xr:uid="{00000000-0005-0000-0000-00005F010000}"/>
    <cellStyle name="Normal 152" xfId="801" xr:uid="{00000000-0005-0000-0000-000060010000}"/>
    <cellStyle name="Normal 153" xfId="989" xr:uid="{00000000-0005-0000-0000-000061010000}"/>
    <cellStyle name="Normal 154" xfId="1119" xr:uid="{00000000-0005-0000-0000-000062010000}"/>
    <cellStyle name="Normal 155" xfId="1133" xr:uid="{00000000-0005-0000-0000-000063010000}"/>
    <cellStyle name="Normal 156" xfId="1096" xr:uid="{00000000-0005-0000-0000-000064010000}"/>
    <cellStyle name="Normal 157" xfId="686" xr:uid="{00000000-0005-0000-0000-000065010000}"/>
    <cellStyle name="Normal 16" xfId="12" xr:uid="{00000000-0005-0000-0000-000066010000}"/>
    <cellStyle name="Normal 16 2" xfId="13" xr:uid="{00000000-0005-0000-0000-000067010000}"/>
    <cellStyle name="Normal 16 3" xfId="28" xr:uid="{00000000-0005-0000-0000-000068010000}"/>
    <cellStyle name="Normal 16 3 2" xfId="264" xr:uid="{00000000-0005-0000-0000-000069010000}"/>
    <cellStyle name="Normal 16 3 3" xfId="813" xr:uid="{00000000-0005-0000-0000-00006A010000}"/>
    <cellStyle name="Normal 16 3 4" xfId="1001" xr:uid="{00000000-0005-0000-0000-00006B010000}"/>
    <cellStyle name="Normal 16 3 5" xfId="698" xr:uid="{00000000-0005-0000-0000-00006C010000}"/>
    <cellStyle name="Normal 16 4" xfId="679" xr:uid="{00000000-0005-0000-0000-00006D010000}"/>
    <cellStyle name="Normal 16 4 2" xfId="978" xr:uid="{00000000-0005-0000-0000-00006E010000}"/>
    <cellStyle name="Normal 16 4 3" xfId="1122" xr:uid="{00000000-0005-0000-0000-00006F010000}"/>
    <cellStyle name="Normal 16 4 4" xfId="790" xr:uid="{00000000-0005-0000-0000-000070010000}"/>
    <cellStyle name="Normal 16 5" xfId="806" xr:uid="{00000000-0005-0000-0000-000071010000}"/>
    <cellStyle name="Normal 16 6" xfId="994" xr:uid="{00000000-0005-0000-0000-000072010000}"/>
    <cellStyle name="Normal 16 7" xfId="691" xr:uid="{00000000-0005-0000-0000-000073010000}"/>
    <cellStyle name="Normal 17" xfId="14" xr:uid="{00000000-0005-0000-0000-000074010000}"/>
    <cellStyle name="Normal 17 2" xfId="30" xr:uid="{00000000-0005-0000-0000-000075010000}"/>
    <cellStyle name="Normal 17 2 2" xfId="265" xr:uid="{00000000-0005-0000-0000-000076010000}"/>
    <cellStyle name="Normal 17 2 3" xfId="814" xr:uid="{00000000-0005-0000-0000-000077010000}"/>
    <cellStyle name="Normal 17 2 4" xfId="1002" xr:uid="{00000000-0005-0000-0000-000078010000}"/>
    <cellStyle name="Normal 17 2 5" xfId="699" xr:uid="{00000000-0005-0000-0000-000079010000}"/>
    <cellStyle name="Normal 17 3" xfId="680" xr:uid="{00000000-0005-0000-0000-00007A010000}"/>
    <cellStyle name="Normal 17 3 2" xfId="979" xr:uid="{00000000-0005-0000-0000-00007B010000}"/>
    <cellStyle name="Normal 17 3 3" xfId="1123" xr:uid="{00000000-0005-0000-0000-00007C010000}"/>
    <cellStyle name="Normal 17 3 4" xfId="791" xr:uid="{00000000-0005-0000-0000-00007D010000}"/>
    <cellStyle name="Normal 17 4" xfId="807" xr:uid="{00000000-0005-0000-0000-00007E010000}"/>
    <cellStyle name="Normal 17 5" xfId="995" xr:uid="{00000000-0005-0000-0000-00007F010000}"/>
    <cellStyle name="Normal 17 6" xfId="692" xr:uid="{00000000-0005-0000-0000-000080010000}"/>
    <cellStyle name="Normal 18" xfId="15" xr:uid="{00000000-0005-0000-0000-000081010000}"/>
    <cellStyle name="Normal 18 2" xfId="31" xr:uid="{00000000-0005-0000-0000-000082010000}"/>
    <cellStyle name="Normal 18 2 2" xfId="266" xr:uid="{00000000-0005-0000-0000-000083010000}"/>
    <cellStyle name="Normal 18 2 3" xfId="815" xr:uid="{00000000-0005-0000-0000-000084010000}"/>
    <cellStyle name="Normal 18 2 4" xfId="1003" xr:uid="{00000000-0005-0000-0000-000085010000}"/>
    <cellStyle name="Normal 18 2 5" xfId="700" xr:uid="{00000000-0005-0000-0000-000086010000}"/>
    <cellStyle name="Normal 18 3" xfId="267" xr:uid="{00000000-0005-0000-0000-000087010000}"/>
    <cellStyle name="Normal 18 3 2" xfId="868" xr:uid="{00000000-0005-0000-0000-000088010000}"/>
    <cellStyle name="Normal 18 3 3" xfId="1021" xr:uid="{00000000-0005-0000-0000-000089010000}"/>
    <cellStyle name="Normal 18 3 4" xfId="715" xr:uid="{00000000-0005-0000-0000-00008A010000}"/>
    <cellStyle name="Normal 18 4" xfId="268" xr:uid="{00000000-0005-0000-0000-00008B010000}"/>
    <cellStyle name="Normal 18 5" xfId="681" xr:uid="{00000000-0005-0000-0000-00008C010000}"/>
    <cellStyle name="Normal 18 5 2" xfId="980" xr:uid="{00000000-0005-0000-0000-00008D010000}"/>
    <cellStyle name="Normal 18 5 3" xfId="1124" xr:uid="{00000000-0005-0000-0000-00008E010000}"/>
    <cellStyle name="Normal 18 5 4" xfId="792" xr:uid="{00000000-0005-0000-0000-00008F010000}"/>
    <cellStyle name="Normal 18 6" xfId="808" xr:uid="{00000000-0005-0000-0000-000090010000}"/>
    <cellStyle name="Normal 18 7" xfId="996" xr:uid="{00000000-0005-0000-0000-000091010000}"/>
    <cellStyle name="Normal 18 8" xfId="693" xr:uid="{00000000-0005-0000-0000-000092010000}"/>
    <cellStyle name="Normal 19" xfId="16" xr:uid="{00000000-0005-0000-0000-000093010000}"/>
    <cellStyle name="Normal 2" xfId="3" xr:uid="{00000000-0005-0000-0000-000094010000}"/>
    <cellStyle name="Normal 2 2" xfId="5" xr:uid="{00000000-0005-0000-0000-000095010000}"/>
    <cellStyle name="Normal 2 2 2" xfId="270" xr:uid="{00000000-0005-0000-0000-000096010000}"/>
    <cellStyle name="Normal 2 2 3" xfId="271" xr:uid="{00000000-0005-0000-0000-000097010000}"/>
    <cellStyle name="Normal 2 2 4" xfId="272" xr:uid="{00000000-0005-0000-0000-000098010000}"/>
    <cellStyle name="Normal 2 2 5" xfId="269" xr:uid="{00000000-0005-0000-0000-000099010000}"/>
    <cellStyle name="Normal 2 2 6" xfId="803" xr:uid="{00000000-0005-0000-0000-00009A010000}"/>
    <cellStyle name="Normal 2 2 7" xfId="991" xr:uid="{00000000-0005-0000-0000-00009B010000}"/>
    <cellStyle name="Normal 2 2 8" xfId="688" xr:uid="{00000000-0005-0000-0000-00009C010000}"/>
    <cellStyle name="Normal 2 3" xfId="17" xr:uid="{00000000-0005-0000-0000-00009D010000}"/>
    <cellStyle name="Normal 2 3 2" xfId="273" xr:uid="{00000000-0005-0000-0000-00009E010000}"/>
    <cellStyle name="Normal 2 4" xfId="274" xr:uid="{00000000-0005-0000-0000-00009F010000}"/>
    <cellStyle name="Normal 2 5" xfId="275" xr:uid="{00000000-0005-0000-0000-0000A0010000}"/>
    <cellStyle name="Normal 2 6" xfId="802" xr:uid="{00000000-0005-0000-0000-0000A1010000}"/>
    <cellStyle name="Normal 2 7" xfId="990" xr:uid="{00000000-0005-0000-0000-0000A2010000}"/>
    <cellStyle name="Normal 2 8" xfId="687" xr:uid="{00000000-0005-0000-0000-0000A3010000}"/>
    <cellStyle name="Normal 2_Data" xfId="276" xr:uid="{00000000-0005-0000-0000-0000A4010000}"/>
    <cellStyle name="Normal 20" xfId="277" xr:uid="{00000000-0005-0000-0000-0000A5010000}"/>
    <cellStyle name="Normal 21" xfId="278" xr:uid="{00000000-0005-0000-0000-0000A6010000}"/>
    <cellStyle name="Normal 22" xfId="18" xr:uid="{00000000-0005-0000-0000-0000A7010000}"/>
    <cellStyle name="Normal 23" xfId="279" xr:uid="{00000000-0005-0000-0000-0000A8010000}"/>
    <cellStyle name="Normal 24" xfId="280" xr:uid="{00000000-0005-0000-0000-0000A9010000}"/>
    <cellStyle name="Normal 24 2" xfId="281" xr:uid="{00000000-0005-0000-0000-0000AA010000}"/>
    <cellStyle name="Normal 24 3" xfId="869" xr:uid="{00000000-0005-0000-0000-0000AB010000}"/>
    <cellStyle name="Normal 24 4" xfId="1022" xr:uid="{00000000-0005-0000-0000-0000AC010000}"/>
    <cellStyle name="Normal 24 5" xfId="716" xr:uid="{00000000-0005-0000-0000-0000AD010000}"/>
    <cellStyle name="Normal 25" xfId="19" xr:uid="{00000000-0005-0000-0000-0000AE010000}"/>
    <cellStyle name="Normal 25 2" xfId="34" xr:uid="{00000000-0005-0000-0000-0000AF010000}"/>
    <cellStyle name="Normal 25 2 2" xfId="282" xr:uid="{00000000-0005-0000-0000-0000B0010000}"/>
    <cellStyle name="Normal 25 2 3" xfId="816" xr:uid="{00000000-0005-0000-0000-0000B1010000}"/>
    <cellStyle name="Normal 25 2 4" xfId="1004" xr:uid="{00000000-0005-0000-0000-0000B2010000}"/>
    <cellStyle name="Normal 25 2 5" xfId="701" xr:uid="{00000000-0005-0000-0000-0000B3010000}"/>
    <cellStyle name="Normal 25 3" xfId="283" xr:uid="{00000000-0005-0000-0000-0000B4010000}"/>
    <cellStyle name="Normal 25 3 2" xfId="870" xr:uid="{00000000-0005-0000-0000-0000B5010000}"/>
    <cellStyle name="Normal 25 3 3" xfId="1023" xr:uid="{00000000-0005-0000-0000-0000B6010000}"/>
    <cellStyle name="Normal 25 3 4" xfId="717" xr:uid="{00000000-0005-0000-0000-0000B7010000}"/>
    <cellStyle name="Normal 25 4" xfId="284" xr:uid="{00000000-0005-0000-0000-0000B8010000}"/>
    <cellStyle name="Normal 25 5" xfId="682" xr:uid="{00000000-0005-0000-0000-0000B9010000}"/>
    <cellStyle name="Normal 25 5 2" xfId="981" xr:uid="{00000000-0005-0000-0000-0000BA010000}"/>
    <cellStyle name="Normal 25 5 3" xfId="1125" xr:uid="{00000000-0005-0000-0000-0000BB010000}"/>
    <cellStyle name="Normal 25 5 4" xfId="793" xr:uid="{00000000-0005-0000-0000-0000BC010000}"/>
    <cellStyle name="Normal 25 6" xfId="809" xr:uid="{00000000-0005-0000-0000-0000BD010000}"/>
    <cellStyle name="Normal 25 7" xfId="997" xr:uid="{00000000-0005-0000-0000-0000BE010000}"/>
    <cellStyle name="Normal 25 8" xfId="694" xr:uid="{00000000-0005-0000-0000-0000BF010000}"/>
    <cellStyle name="Normal 26" xfId="20" xr:uid="{00000000-0005-0000-0000-0000C0010000}"/>
    <cellStyle name="Normal 26 2" xfId="35" xr:uid="{00000000-0005-0000-0000-0000C1010000}"/>
    <cellStyle name="Normal 26 2 2" xfId="285" xr:uid="{00000000-0005-0000-0000-0000C2010000}"/>
    <cellStyle name="Normal 26 2 3" xfId="817" xr:uid="{00000000-0005-0000-0000-0000C3010000}"/>
    <cellStyle name="Normal 26 2 4" xfId="1005" xr:uid="{00000000-0005-0000-0000-0000C4010000}"/>
    <cellStyle name="Normal 26 2 5" xfId="702" xr:uid="{00000000-0005-0000-0000-0000C5010000}"/>
    <cellStyle name="Normal 26 3" xfId="683" xr:uid="{00000000-0005-0000-0000-0000C6010000}"/>
    <cellStyle name="Normal 26 3 2" xfId="982" xr:uid="{00000000-0005-0000-0000-0000C7010000}"/>
    <cellStyle name="Normal 26 3 3" xfId="1126" xr:uid="{00000000-0005-0000-0000-0000C8010000}"/>
    <cellStyle name="Normal 26 3 4" xfId="794" xr:uid="{00000000-0005-0000-0000-0000C9010000}"/>
    <cellStyle name="Normal 26 4" xfId="810" xr:uid="{00000000-0005-0000-0000-0000CA010000}"/>
    <cellStyle name="Normal 26 5" xfId="998" xr:uid="{00000000-0005-0000-0000-0000CB010000}"/>
    <cellStyle name="Normal 26 6" xfId="695" xr:uid="{00000000-0005-0000-0000-0000CC010000}"/>
    <cellStyle name="Normal 27" xfId="286" xr:uid="{00000000-0005-0000-0000-0000CD010000}"/>
    <cellStyle name="Normal 27 2" xfId="287" xr:uid="{00000000-0005-0000-0000-0000CE010000}"/>
    <cellStyle name="Normal 27 3" xfId="871" xr:uid="{00000000-0005-0000-0000-0000CF010000}"/>
    <cellStyle name="Normal 27 4" xfId="1024" xr:uid="{00000000-0005-0000-0000-0000D0010000}"/>
    <cellStyle name="Normal 27 5" xfId="718" xr:uid="{00000000-0005-0000-0000-0000D1010000}"/>
    <cellStyle name="Normal 28" xfId="288" xr:uid="{00000000-0005-0000-0000-0000D2010000}"/>
    <cellStyle name="Normal 28 2" xfId="289" xr:uid="{00000000-0005-0000-0000-0000D3010000}"/>
    <cellStyle name="Normal 28 2 2" xfId="872" xr:uid="{00000000-0005-0000-0000-0000D4010000}"/>
    <cellStyle name="Normal 28 2 3" xfId="1025" xr:uid="{00000000-0005-0000-0000-0000D5010000}"/>
    <cellStyle name="Normal 28 2 4" xfId="719" xr:uid="{00000000-0005-0000-0000-0000D6010000}"/>
    <cellStyle name="Normal 29" xfId="290" xr:uid="{00000000-0005-0000-0000-0000D7010000}"/>
    <cellStyle name="Normal 29 2" xfId="291" xr:uid="{00000000-0005-0000-0000-0000D8010000}"/>
    <cellStyle name="Normal 3" xfId="4" xr:uid="{00000000-0005-0000-0000-0000D9010000}"/>
    <cellStyle name="Normal 3 2" xfId="292" xr:uid="{00000000-0005-0000-0000-0000DA010000}"/>
    <cellStyle name="Normal 3 3" xfId="293" xr:uid="{00000000-0005-0000-0000-0000DB010000}"/>
    <cellStyle name="Normal 30" xfId="294" xr:uid="{00000000-0005-0000-0000-0000DC010000}"/>
    <cellStyle name="Normal 31" xfId="295" xr:uid="{00000000-0005-0000-0000-0000DD010000}"/>
    <cellStyle name="Normal 32" xfId="296" xr:uid="{00000000-0005-0000-0000-0000DE010000}"/>
    <cellStyle name="Normal 33" xfId="297" xr:uid="{00000000-0005-0000-0000-0000DF010000}"/>
    <cellStyle name="Normal 33 2" xfId="298" xr:uid="{00000000-0005-0000-0000-0000E0010000}"/>
    <cellStyle name="Normal 33 2 2" xfId="299" xr:uid="{00000000-0005-0000-0000-0000E1010000}"/>
    <cellStyle name="Normal 33 2 2 2" xfId="874" xr:uid="{00000000-0005-0000-0000-0000E2010000}"/>
    <cellStyle name="Normal 33 2 2 3" xfId="1027" xr:uid="{00000000-0005-0000-0000-0000E3010000}"/>
    <cellStyle name="Normal 33 2 2 4" xfId="721" xr:uid="{00000000-0005-0000-0000-0000E4010000}"/>
    <cellStyle name="Normal 33 2 3" xfId="300" xr:uid="{00000000-0005-0000-0000-0000E5010000}"/>
    <cellStyle name="Normal 33 3" xfId="873" xr:uid="{00000000-0005-0000-0000-0000E6010000}"/>
    <cellStyle name="Normal 33 4" xfId="1026" xr:uid="{00000000-0005-0000-0000-0000E7010000}"/>
    <cellStyle name="Normal 33 5" xfId="720" xr:uid="{00000000-0005-0000-0000-0000E8010000}"/>
    <cellStyle name="Normal 34" xfId="301" xr:uid="{00000000-0005-0000-0000-0000E9010000}"/>
    <cellStyle name="Normal 34 2" xfId="302" xr:uid="{00000000-0005-0000-0000-0000EA010000}"/>
    <cellStyle name="Normal 34 2 2" xfId="876" xr:uid="{00000000-0005-0000-0000-0000EB010000}"/>
    <cellStyle name="Normal 34 2 3" xfId="1029" xr:uid="{00000000-0005-0000-0000-0000EC010000}"/>
    <cellStyle name="Normal 34 2 4" xfId="723" xr:uid="{00000000-0005-0000-0000-0000ED010000}"/>
    <cellStyle name="Normal 34 3" xfId="303" xr:uid="{00000000-0005-0000-0000-0000EE010000}"/>
    <cellStyle name="Normal 34 4" xfId="875" xr:uid="{00000000-0005-0000-0000-0000EF010000}"/>
    <cellStyle name="Normal 34 5" xfId="1028" xr:uid="{00000000-0005-0000-0000-0000F0010000}"/>
    <cellStyle name="Normal 34 6" xfId="722" xr:uid="{00000000-0005-0000-0000-0000F1010000}"/>
    <cellStyle name="Normal 35" xfId="304" xr:uid="{00000000-0005-0000-0000-0000F2010000}"/>
    <cellStyle name="Normal 35 2" xfId="305" xr:uid="{00000000-0005-0000-0000-0000F3010000}"/>
    <cellStyle name="Normal 35 2 2" xfId="878" xr:uid="{00000000-0005-0000-0000-0000F4010000}"/>
    <cellStyle name="Normal 35 2 3" xfId="1031" xr:uid="{00000000-0005-0000-0000-0000F5010000}"/>
    <cellStyle name="Normal 35 2 4" xfId="725" xr:uid="{00000000-0005-0000-0000-0000F6010000}"/>
    <cellStyle name="Normal 35 3" xfId="306" xr:uid="{00000000-0005-0000-0000-0000F7010000}"/>
    <cellStyle name="Normal 35 4" xfId="877" xr:uid="{00000000-0005-0000-0000-0000F8010000}"/>
    <cellStyle name="Normal 35 5" xfId="1030" xr:uid="{00000000-0005-0000-0000-0000F9010000}"/>
    <cellStyle name="Normal 35 6" xfId="724" xr:uid="{00000000-0005-0000-0000-0000FA010000}"/>
    <cellStyle name="Normal 36" xfId="307" xr:uid="{00000000-0005-0000-0000-0000FB010000}"/>
    <cellStyle name="Normal 36 2" xfId="308" xr:uid="{00000000-0005-0000-0000-0000FC010000}"/>
    <cellStyle name="Normal 36 2 2" xfId="880" xr:uid="{00000000-0005-0000-0000-0000FD010000}"/>
    <cellStyle name="Normal 36 2 3" xfId="1033" xr:uid="{00000000-0005-0000-0000-0000FE010000}"/>
    <cellStyle name="Normal 36 2 4" xfId="727" xr:uid="{00000000-0005-0000-0000-0000FF010000}"/>
    <cellStyle name="Normal 36 3" xfId="309" xr:uid="{00000000-0005-0000-0000-000000020000}"/>
    <cellStyle name="Normal 36 4" xfId="879" xr:uid="{00000000-0005-0000-0000-000001020000}"/>
    <cellStyle name="Normal 36 5" xfId="1032" xr:uid="{00000000-0005-0000-0000-000002020000}"/>
    <cellStyle name="Normal 36 6" xfId="726" xr:uid="{00000000-0005-0000-0000-000003020000}"/>
    <cellStyle name="Normal 37" xfId="310" xr:uid="{00000000-0005-0000-0000-000004020000}"/>
    <cellStyle name="Normal 37 2" xfId="311" xr:uid="{00000000-0005-0000-0000-000005020000}"/>
    <cellStyle name="Normal 37 2 2" xfId="882" xr:uid="{00000000-0005-0000-0000-000006020000}"/>
    <cellStyle name="Normal 37 2 3" xfId="1035" xr:uid="{00000000-0005-0000-0000-000007020000}"/>
    <cellStyle name="Normal 37 2 4" xfId="729" xr:uid="{00000000-0005-0000-0000-000008020000}"/>
    <cellStyle name="Normal 37 3" xfId="312" xr:uid="{00000000-0005-0000-0000-000009020000}"/>
    <cellStyle name="Normal 37 4" xfId="881" xr:uid="{00000000-0005-0000-0000-00000A020000}"/>
    <cellStyle name="Normal 37 5" xfId="1034" xr:uid="{00000000-0005-0000-0000-00000B020000}"/>
    <cellStyle name="Normal 37 6" xfId="728" xr:uid="{00000000-0005-0000-0000-00000C020000}"/>
    <cellStyle name="Normal 38" xfId="313" xr:uid="{00000000-0005-0000-0000-00000D020000}"/>
    <cellStyle name="Normal 38 2" xfId="314" xr:uid="{00000000-0005-0000-0000-00000E020000}"/>
    <cellStyle name="Normal 38 2 2" xfId="884" xr:uid="{00000000-0005-0000-0000-00000F020000}"/>
    <cellStyle name="Normal 38 2 3" xfId="1037" xr:uid="{00000000-0005-0000-0000-000010020000}"/>
    <cellStyle name="Normal 38 2 4" xfId="731" xr:uid="{00000000-0005-0000-0000-000011020000}"/>
    <cellStyle name="Normal 38 3" xfId="315" xr:uid="{00000000-0005-0000-0000-000012020000}"/>
    <cellStyle name="Normal 38 4" xfId="883" xr:uid="{00000000-0005-0000-0000-000013020000}"/>
    <cellStyle name="Normal 38 5" xfId="1036" xr:uid="{00000000-0005-0000-0000-000014020000}"/>
    <cellStyle name="Normal 38 6" xfId="730" xr:uid="{00000000-0005-0000-0000-000015020000}"/>
    <cellStyle name="Normal 39" xfId="316" xr:uid="{00000000-0005-0000-0000-000016020000}"/>
    <cellStyle name="Normal 39 2" xfId="317" xr:uid="{00000000-0005-0000-0000-000017020000}"/>
    <cellStyle name="Normal 39 2 2" xfId="886" xr:uid="{00000000-0005-0000-0000-000018020000}"/>
    <cellStyle name="Normal 39 2 3" xfId="1039" xr:uid="{00000000-0005-0000-0000-000019020000}"/>
    <cellStyle name="Normal 39 2 4" xfId="733" xr:uid="{00000000-0005-0000-0000-00001A020000}"/>
    <cellStyle name="Normal 39 3" xfId="318" xr:uid="{00000000-0005-0000-0000-00001B020000}"/>
    <cellStyle name="Normal 39 4" xfId="885" xr:uid="{00000000-0005-0000-0000-00001C020000}"/>
    <cellStyle name="Normal 39 5" xfId="1038" xr:uid="{00000000-0005-0000-0000-00001D020000}"/>
    <cellStyle name="Normal 39 6" xfId="732" xr:uid="{00000000-0005-0000-0000-00001E020000}"/>
    <cellStyle name="Normal 4" xfId="36" xr:uid="{00000000-0005-0000-0000-00001F020000}"/>
    <cellStyle name="Normal 4 2" xfId="319" xr:uid="{00000000-0005-0000-0000-000020020000}"/>
    <cellStyle name="Normal 40" xfId="320" xr:uid="{00000000-0005-0000-0000-000021020000}"/>
    <cellStyle name="Normal 40 2" xfId="321" xr:uid="{00000000-0005-0000-0000-000022020000}"/>
    <cellStyle name="Normal 40 3" xfId="322" xr:uid="{00000000-0005-0000-0000-000023020000}"/>
    <cellStyle name="Normal 40 4" xfId="323" xr:uid="{00000000-0005-0000-0000-000024020000}"/>
    <cellStyle name="Normal 40 4 2" xfId="888" xr:uid="{00000000-0005-0000-0000-000025020000}"/>
    <cellStyle name="Normal 40 4 3" xfId="1041" xr:uid="{00000000-0005-0000-0000-000026020000}"/>
    <cellStyle name="Normal 40 4 4" xfId="735" xr:uid="{00000000-0005-0000-0000-000027020000}"/>
    <cellStyle name="Normal 40 5" xfId="887" xr:uid="{00000000-0005-0000-0000-000028020000}"/>
    <cellStyle name="Normal 40 6" xfId="1040" xr:uid="{00000000-0005-0000-0000-000029020000}"/>
    <cellStyle name="Normal 40 7" xfId="734" xr:uid="{00000000-0005-0000-0000-00002A020000}"/>
    <cellStyle name="Normal 41" xfId="324" xr:uid="{00000000-0005-0000-0000-00002B020000}"/>
    <cellStyle name="Normal 42" xfId="325" xr:uid="{00000000-0005-0000-0000-00002C020000}"/>
    <cellStyle name="Normal 43" xfId="326" xr:uid="{00000000-0005-0000-0000-00002D020000}"/>
    <cellStyle name="Normal 44" xfId="327" xr:uid="{00000000-0005-0000-0000-00002E020000}"/>
    <cellStyle name="Normal 45" xfId="328" xr:uid="{00000000-0005-0000-0000-00002F020000}"/>
    <cellStyle name="Normal 46" xfId="329" xr:uid="{00000000-0005-0000-0000-000030020000}"/>
    <cellStyle name="Normal 47" xfId="330" xr:uid="{00000000-0005-0000-0000-000031020000}"/>
    <cellStyle name="Normal 48" xfId="331" xr:uid="{00000000-0005-0000-0000-000032020000}"/>
    <cellStyle name="Normal 48 2" xfId="889" xr:uid="{00000000-0005-0000-0000-000033020000}"/>
    <cellStyle name="Normal 48 3" xfId="1042" xr:uid="{00000000-0005-0000-0000-000034020000}"/>
    <cellStyle name="Normal 48 4" xfId="736" xr:uid="{00000000-0005-0000-0000-000035020000}"/>
    <cellStyle name="Normal 49" xfId="332" xr:uid="{00000000-0005-0000-0000-000036020000}"/>
    <cellStyle name="Normal 5" xfId="333" xr:uid="{00000000-0005-0000-0000-000037020000}"/>
    <cellStyle name="Normal 5 10" xfId="1043" xr:uid="{00000000-0005-0000-0000-000038020000}"/>
    <cellStyle name="Normal 5 11" xfId="737" xr:uid="{00000000-0005-0000-0000-000039020000}"/>
    <cellStyle name="Normal 5 2" xfId="334" xr:uid="{00000000-0005-0000-0000-00003A020000}"/>
    <cellStyle name="Normal 5 3" xfId="335" xr:uid="{00000000-0005-0000-0000-00003B020000}"/>
    <cellStyle name="Normal 5 3 2" xfId="336" xr:uid="{00000000-0005-0000-0000-00003C020000}"/>
    <cellStyle name="Normal 5 3 3" xfId="891" xr:uid="{00000000-0005-0000-0000-00003D020000}"/>
    <cellStyle name="Normal 5 3 4" xfId="1044" xr:uid="{00000000-0005-0000-0000-00003E020000}"/>
    <cellStyle name="Normal 5 3 5" xfId="738" xr:uid="{00000000-0005-0000-0000-00003F020000}"/>
    <cellStyle name="Normal 5 4" xfId="337" xr:uid="{00000000-0005-0000-0000-000040020000}"/>
    <cellStyle name="Normal 5 4 2" xfId="338" xr:uid="{00000000-0005-0000-0000-000041020000}"/>
    <cellStyle name="Normal 5 4 3" xfId="892" xr:uid="{00000000-0005-0000-0000-000042020000}"/>
    <cellStyle name="Normal 5 4 4" xfId="1045" xr:uid="{00000000-0005-0000-0000-000043020000}"/>
    <cellStyle name="Normal 5 4 5" xfId="739" xr:uid="{00000000-0005-0000-0000-000044020000}"/>
    <cellStyle name="Normal 5 5" xfId="339" xr:uid="{00000000-0005-0000-0000-000045020000}"/>
    <cellStyle name="Normal 5 6" xfId="340" xr:uid="{00000000-0005-0000-0000-000046020000}"/>
    <cellStyle name="Normal 5 7" xfId="341" xr:uid="{00000000-0005-0000-0000-000047020000}"/>
    <cellStyle name="Normal 5 8" xfId="796" xr:uid="{00000000-0005-0000-0000-000048020000}"/>
    <cellStyle name="Normal 5 8 2" xfId="984" xr:uid="{00000000-0005-0000-0000-000049020000}"/>
    <cellStyle name="Normal 5 8 3" xfId="1128" xr:uid="{00000000-0005-0000-0000-00004A020000}"/>
    <cellStyle name="Normal 5 9" xfId="890" xr:uid="{00000000-0005-0000-0000-00004B020000}"/>
    <cellStyle name="Normal 50" xfId="342" xr:uid="{00000000-0005-0000-0000-00004C020000}"/>
    <cellStyle name="Normal 51" xfId="343" xr:uid="{00000000-0005-0000-0000-00004D020000}"/>
    <cellStyle name="Normal 52" xfId="344" xr:uid="{00000000-0005-0000-0000-00004E020000}"/>
    <cellStyle name="Normal 52 2" xfId="893" xr:uid="{00000000-0005-0000-0000-00004F020000}"/>
    <cellStyle name="Normal 52 3" xfId="1046" xr:uid="{00000000-0005-0000-0000-000050020000}"/>
    <cellStyle name="Normal 52 4" xfId="740" xr:uid="{00000000-0005-0000-0000-000051020000}"/>
    <cellStyle name="Normal 53" xfId="345" xr:uid="{00000000-0005-0000-0000-000052020000}"/>
    <cellStyle name="Normal 53 2" xfId="894" xr:uid="{00000000-0005-0000-0000-000053020000}"/>
    <cellStyle name="Normal 53 3" xfId="1047" xr:uid="{00000000-0005-0000-0000-000054020000}"/>
    <cellStyle name="Normal 53 4" xfId="741" xr:uid="{00000000-0005-0000-0000-000055020000}"/>
    <cellStyle name="Normal 54" xfId="346" xr:uid="{00000000-0005-0000-0000-000056020000}"/>
    <cellStyle name="Normal 54 2" xfId="895" xr:uid="{00000000-0005-0000-0000-000057020000}"/>
    <cellStyle name="Normal 54 3" xfId="1048" xr:uid="{00000000-0005-0000-0000-000058020000}"/>
    <cellStyle name="Normal 54 4" xfId="742" xr:uid="{00000000-0005-0000-0000-000059020000}"/>
    <cellStyle name="Normal 55" xfId="347" xr:uid="{00000000-0005-0000-0000-00005A020000}"/>
    <cellStyle name="Normal 55 2" xfId="896" xr:uid="{00000000-0005-0000-0000-00005B020000}"/>
    <cellStyle name="Normal 55 3" xfId="1049" xr:uid="{00000000-0005-0000-0000-00005C020000}"/>
    <cellStyle name="Normal 55 4" xfId="743" xr:uid="{00000000-0005-0000-0000-00005D020000}"/>
    <cellStyle name="Normal 56" xfId="348" xr:uid="{00000000-0005-0000-0000-00005E020000}"/>
    <cellStyle name="Normal 56 2" xfId="897" xr:uid="{00000000-0005-0000-0000-00005F020000}"/>
    <cellStyle name="Normal 56 3" xfId="1050" xr:uid="{00000000-0005-0000-0000-000060020000}"/>
    <cellStyle name="Normal 56 4" xfId="744" xr:uid="{00000000-0005-0000-0000-000061020000}"/>
    <cellStyle name="Normal 57" xfId="349" xr:uid="{00000000-0005-0000-0000-000062020000}"/>
    <cellStyle name="Normal 57 2" xfId="898" xr:uid="{00000000-0005-0000-0000-000063020000}"/>
    <cellStyle name="Normal 57 3" xfId="1051" xr:uid="{00000000-0005-0000-0000-000064020000}"/>
    <cellStyle name="Normal 57 4" xfId="745" xr:uid="{00000000-0005-0000-0000-000065020000}"/>
    <cellStyle name="Normal 58" xfId="350" xr:uid="{00000000-0005-0000-0000-000066020000}"/>
    <cellStyle name="Normal 58 2" xfId="899" xr:uid="{00000000-0005-0000-0000-000067020000}"/>
    <cellStyle name="Normal 58 3" xfId="1052" xr:uid="{00000000-0005-0000-0000-000068020000}"/>
    <cellStyle name="Normal 58 4" xfId="746" xr:uid="{00000000-0005-0000-0000-000069020000}"/>
    <cellStyle name="Normal 59" xfId="351" xr:uid="{00000000-0005-0000-0000-00006A020000}"/>
    <cellStyle name="Normal 59 2" xfId="352" xr:uid="{00000000-0005-0000-0000-00006B020000}"/>
    <cellStyle name="Normal 59 3" xfId="353" xr:uid="{00000000-0005-0000-0000-00006C020000}"/>
    <cellStyle name="Normal 59 3 2" xfId="901" xr:uid="{00000000-0005-0000-0000-00006D020000}"/>
    <cellStyle name="Normal 59 3 3" xfId="1054" xr:uid="{00000000-0005-0000-0000-00006E020000}"/>
    <cellStyle name="Normal 59 3 4" xfId="748" xr:uid="{00000000-0005-0000-0000-00006F020000}"/>
    <cellStyle name="Normal 59 4" xfId="354" xr:uid="{00000000-0005-0000-0000-000070020000}"/>
    <cellStyle name="Normal 59 5" xfId="900" xr:uid="{00000000-0005-0000-0000-000071020000}"/>
    <cellStyle name="Normal 59 6" xfId="1053" xr:uid="{00000000-0005-0000-0000-000072020000}"/>
    <cellStyle name="Normal 59 7" xfId="747" xr:uid="{00000000-0005-0000-0000-000073020000}"/>
    <cellStyle name="Normal 6" xfId="355" xr:uid="{00000000-0005-0000-0000-000074020000}"/>
    <cellStyle name="Normal 6 2" xfId="356" xr:uid="{00000000-0005-0000-0000-000075020000}"/>
    <cellStyle name="Normal 60" xfId="357" xr:uid="{00000000-0005-0000-0000-000076020000}"/>
    <cellStyle name="Normal 60 2" xfId="902" xr:uid="{00000000-0005-0000-0000-000077020000}"/>
    <cellStyle name="Normal 60 3" xfId="1055" xr:uid="{00000000-0005-0000-0000-000078020000}"/>
    <cellStyle name="Normal 60 4" xfId="749" xr:uid="{00000000-0005-0000-0000-000079020000}"/>
    <cellStyle name="Normal 61" xfId="358" xr:uid="{00000000-0005-0000-0000-00007A020000}"/>
    <cellStyle name="Normal 61 2" xfId="359" xr:uid="{00000000-0005-0000-0000-00007B020000}"/>
    <cellStyle name="Normal 61 3" xfId="360" xr:uid="{00000000-0005-0000-0000-00007C020000}"/>
    <cellStyle name="Normal 61 3 2" xfId="904" xr:uid="{00000000-0005-0000-0000-00007D020000}"/>
    <cellStyle name="Normal 61 3 3" xfId="1057" xr:uid="{00000000-0005-0000-0000-00007E020000}"/>
    <cellStyle name="Normal 61 3 4" xfId="751" xr:uid="{00000000-0005-0000-0000-00007F020000}"/>
    <cellStyle name="Normal 61 4" xfId="361" xr:uid="{00000000-0005-0000-0000-000080020000}"/>
    <cellStyle name="Normal 61 5" xfId="903" xr:uid="{00000000-0005-0000-0000-000081020000}"/>
    <cellStyle name="Normal 61 6" xfId="1056" xr:uid="{00000000-0005-0000-0000-000082020000}"/>
    <cellStyle name="Normal 61 7" xfId="750" xr:uid="{00000000-0005-0000-0000-000083020000}"/>
    <cellStyle name="Normal 62" xfId="362" xr:uid="{00000000-0005-0000-0000-000084020000}"/>
    <cellStyle name="Normal 62 2" xfId="363" xr:uid="{00000000-0005-0000-0000-000085020000}"/>
    <cellStyle name="Normal 62 3" xfId="364" xr:uid="{00000000-0005-0000-0000-000086020000}"/>
    <cellStyle name="Normal 62 3 2" xfId="906" xr:uid="{00000000-0005-0000-0000-000087020000}"/>
    <cellStyle name="Normal 62 3 3" xfId="1059" xr:uid="{00000000-0005-0000-0000-000088020000}"/>
    <cellStyle name="Normal 62 3 4" xfId="753" xr:uid="{00000000-0005-0000-0000-000089020000}"/>
    <cellStyle name="Normal 62 4" xfId="365" xr:uid="{00000000-0005-0000-0000-00008A020000}"/>
    <cellStyle name="Normal 62 5" xfId="905" xr:uid="{00000000-0005-0000-0000-00008B020000}"/>
    <cellStyle name="Normal 62 6" xfId="1058" xr:uid="{00000000-0005-0000-0000-00008C020000}"/>
    <cellStyle name="Normal 62 7" xfId="752" xr:uid="{00000000-0005-0000-0000-00008D020000}"/>
    <cellStyle name="Normal 63" xfId="366" xr:uid="{00000000-0005-0000-0000-00008E020000}"/>
    <cellStyle name="Normal 63 2" xfId="367" xr:uid="{00000000-0005-0000-0000-00008F020000}"/>
    <cellStyle name="Normal 63 3" xfId="368" xr:uid="{00000000-0005-0000-0000-000090020000}"/>
    <cellStyle name="Normal 63 3 2" xfId="908" xr:uid="{00000000-0005-0000-0000-000091020000}"/>
    <cellStyle name="Normal 63 3 3" xfId="1061" xr:uid="{00000000-0005-0000-0000-000092020000}"/>
    <cellStyle name="Normal 63 3 4" xfId="755" xr:uid="{00000000-0005-0000-0000-000093020000}"/>
    <cellStyle name="Normal 63 4" xfId="369" xr:uid="{00000000-0005-0000-0000-000094020000}"/>
    <cellStyle name="Normal 63 5" xfId="907" xr:uid="{00000000-0005-0000-0000-000095020000}"/>
    <cellStyle name="Normal 63 6" xfId="1060" xr:uid="{00000000-0005-0000-0000-000096020000}"/>
    <cellStyle name="Normal 63 7" xfId="754" xr:uid="{00000000-0005-0000-0000-000097020000}"/>
    <cellStyle name="Normal 64" xfId="370" xr:uid="{00000000-0005-0000-0000-000098020000}"/>
    <cellStyle name="Normal 64 2" xfId="371" xr:uid="{00000000-0005-0000-0000-000099020000}"/>
    <cellStyle name="Normal 64 3" xfId="372" xr:uid="{00000000-0005-0000-0000-00009A020000}"/>
    <cellStyle name="Normal 64 3 2" xfId="910" xr:uid="{00000000-0005-0000-0000-00009B020000}"/>
    <cellStyle name="Normal 64 3 3" xfId="1063" xr:uid="{00000000-0005-0000-0000-00009C020000}"/>
    <cellStyle name="Normal 64 3 4" xfId="757" xr:uid="{00000000-0005-0000-0000-00009D020000}"/>
    <cellStyle name="Normal 64 4" xfId="373" xr:uid="{00000000-0005-0000-0000-00009E020000}"/>
    <cellStyle name="Normal 64 5" xfId="909" xr:uid="{00000000-0005-0000-0000-00009F020000}"/>
    <cellStyle name="Normal 64 6" xfId="1062" xr:uid="{00000000-0005-0000-0000-0000A0020000}"/>
    <cellStyle name="Normal 64 7" xfId="756" xr:uid="{00000000-0005-0000-0000-0000A1020000}"/>
    <cellStyle name="Normal 65" xfId="374" xr:uid="{00000000-0005-0000-0000-0000A2020000}"/>
    <cellStyle name="Normal 65 2" xfId="375" xr:uid="{00000000-0005-0000-0000-0000A3020000}"/>
    <cellStyle name="Normal 65 3" xfId="376" xr:uid="{00000000-0005-0000-0000-0000A4020000}"/>
    <cellStyle name="Normal 65 3 2" xfId="912" xr:uid="{00000000-0005-0000-0000-0000A5020000}"/>
    <cellStyle name="Normal 65 3 3" xfId="1065" xr:uid="{00000000-0005-0000-0000-0000A6020000}"/>
    <cellStyle name="Normal 65 3 4" xfId="759" xr:uid="{00000000-0005-0000-0000-0000A7020000}"/>
    <cellStyle name="Normal 65 4" xfId="377" xr:uid="{00000000-0005-0000-0000-0000A8020000}"/>
    <cellStyle name="Normal 65 5" xfId="911" xr:uid="{00000000-0005-0000-0000-0000A9020000}"/>
    <cellStyle name="Normal 65 6" xfId="1064" xr:uid="{00000000-0005-0000-0000-0000AA020000}"/>
    <cellStyle name="Normal 65 7" xfId="758" xr:uid="{00000000-0005-0000-0000-0000AB020000}"/>
    <cellStyle name="Normal 66" xfId="378" xr:uid="{00000000-0005-0000-0000-0000AC020000}"/>
    <cellStyle name="Normal 66 2" xfId="379" xr:uid="{00000000-0005-0000-0000-0000AD020000}"/>
    <cellStyle name="Normal 66 3" xfId="380" xr:uid="{00000000-0005-0000-0000-0000AE020000}"/>
    <cellStyle name="Normal 66 3 2" xfId="914" xr:uid="{00000000-0005-0000-0000-0000AF020000}"/>
    <cellStyle name="Normal 66 3 3" xfId="1067" xr:uid="{00000000-0005-0000-0000-0000B0020000}"/>
    <cellStyle name="Normal 66 3 4" xfId="761" xr:uid="{00000000-0005-0000-0000-0000B1020000}"/>
    <cellStyle name="Normal 66 4" xfId="381" xr:uid="{00000000-0005-0000-0000-0000B2020000}"/>
    <cellStyle name="Normal 66 5" xfId="913" xr:uid="{00000000-0005-0000-0000-0000B3020000}"/>
    <cellStyle name="Normal 66 6" xfId="1066" xr:uid="{00000000-0005-0000-0000-0000B4020000}"/>
    <cellStyle name="Normal 66 7" xfId="760" xr:uid="{00000000-0005-0000-0000-0000B5020000}"/>
    <cellStyle name="Normal 67" xfId="382" xr:uid="{00000000-0005-0000-0000-0000B6020000}"/>
    <cellStyle name="Normal 67 2" xfId="383" xr:uid="{00000000-0005-0000-0000-0000B7020000}"/>
    <cellStyle name="Normal 67 3" xfId="384" xr:uid="{00000000-0005-0000-0000-0000B8020000}"/>
    <cellStyle name="Normal 67 3 2" xfId="916" xr:uid="{00000000-0005-0000-0000-0000B9020000}"/>
    <cellStyle name="Normal 67 3 3" xfId="1069" xr:uid="{00000000-0005-0000-0000-0000BA020000}"/>
    <cellStyle name="Normal 67 3 4" xfId="763" xr:uid="{00000000-0005-0000-0000-0000BB020000}"/>
    <cellStyle name="Normal 67 4" xfId="385" xr:uid="{00000000-0005-0000-0000-0000BC020000}"/>
    <cellStyle name="Normal 67 5" xfId="915" xr:uid="{00000000-0005-0000-0000-0000BD020000}"/>
    <cellStyle name="Normal 67 6" xfId="1068" xr:uid="{00000000-0005-0000-0000-0000BE020000}"/>
    <cellStyle name="Normal 67 7" xfId="762" xr:uid="{00000000-0005-0000-0000-0000BF020000}"/>
    <cellStyle name="Normal 68" xfId="386" xr:uid="{00000000-0005-0000-0000-0000C0020000}"/>
    <cellStyle name="Normal 68 2" xfId="387" xr:uid="{00000000-0005-0000-0000-0000C1020000}"/>
    <cellStyle name="Normal 68 3" xfId="388" xr:uid="{00000000-0005-0000-0000-0000C2020000}"/>
    <cellStyle name="Normal 68 3 2" xfId="918" xr:uid="{00000000-0005-0000-0000-0000C3020000}"/>
    <cellStyle name="Normal 68 3 3" xfId="1071" xr:uid="{00000000-0005-0000-0000-0000C4020000}"/>
    <cellStyle name="Normal 68 3 4" xfId="765" xr:uid="{00000000-0005-0000-0000-0000C5020000}"/>
    <cellStyle name="Normal 68 4" xfId="389" xr:uid="{00000000-0005-0000-0000-0000C6020000}"/>
    <cellStyle name="Normal 68 5" xfId="917" xr:uid="{00000000-0005-0000-0000-0000C7020000}"/>
    <cellStyle name="Normal 68 6" xfId="1070" xr:uid="{00000000-0005-0000-0000-0000C8020000}"/>
    <cellStyle name="Normal 68 7" xfId="764" xr:uid="{00000000-0005-0000-0000-0000C9020000}"/>
    <cellStyle name="Normal 69" xfId="390" xr:uid="{00000000-0005-0000-0000-0000CA020000}"/>
    <cellStyle name="Normal 69 2" xfId="391" xr:uid="{00000000-0005-0000-0000-0000CB020000}"/>
    <cellStyle name="Normal 69 3" xfId="392" xr:uid="{00000000-0005-0000-0000-0000CC020000}"/>
    <cellStyle name="Normal 69 3 2" xfId="920" xr:uid="{00000000-0005-0000-0000-0000CD020000}"/>
    <cellStyle name="Normal 69 3 3" xfId="1073" xr:uid="{00000000-0005-0000-0000-0000CE020000}"/>
    <cellStyle name="Normal 69 3 4" xfId="767" xr:uid="{00000000-0005-0000-0000-0000CF020000}"/>
    <cellStyle name="Normal 69 4" xfId="393" xr:uid="{00000000-0005-0000-0000-0000D0020000}"/>
    <cellStyle name="Normal 69 5" xfId="919" xr:uid="{00000000-0005-0000-0000-0000D1020000}"/>
    <cellStyle name="Normal 69 6" xfId="1072" xr:uid="{00000000-0005-0000-0000-0000D2020000}"/>
    <cellStyle name="Normal 69 7" xfId="766" xr:uid="{00000000-0005-0000-0000-0000D3020000}"/>
    <cellStyle name="Normal 7" xfId="394" xr:uid="{00000000-0005-0000-0000-0000D4020000}"/>
    <cellStyle name="Normal 7 2" xfId="395" xr:uid="{00000000-0005-0000-0000-0000D5020000}"/>
    <cellStyle name="Normal 7 3" xfId="396" xr:uid="{00000000-0005-0000-0000-0000D6020000}"/>
    <cellStyle name="Normal 7 4" xfId="397" xr:uid="{00000000-0005-0000-0000-0000D7020000}"/>
    <cellStyle name="Normal 7 5" xfId="921" xr:uid="{00000000-0005-0000-0000-0000D8020000}"/>
    <cellStyle name="Normal 7 6" xfId="1074" xr:uid="{00000000-0005-0000-0000-0000D9020000}"/>
    <cellStyle name="Normal 7 7" xfId="768" xr:uid="{00000000-0005-0000-0000-0000DA020000}"/>
    <cellStyle name="Normal 70" xfId="398" xr:uid="{00000000-0005-0000-0000-0000DB020000}"/>
    <cellStyle name="Normal 70 2" xfId="399" xr:uid="{00000000-0005-0000-0000-0000DC020000}"/>
    <cellStyle name="Normal 70 3" xfId="400" xr:uid="{00000000-0005-0000-0000-0000DD020000}"/>
    <cellStyle name="Normal 70 3 2" xfId="923" xr:uid="{00000000-0005-0000-0000-0000DE020000}"/>
    <cellStyle name="Normal 70 3 3" xfId="1076" xr:uid="{00000000-0005-0000-0000-0000DF020000}"/>
    <cellStyle name="Normal 70 3 4" xfId="770" xr:uid="{00000000-0005-0000-0000-0000E0020000}"/>
    <cellStyle name="Normal 70 4" xfId="401" xr:uid="{00000000-0005-0000-0000-0000E1020000}"/>
    <cellStyle name="Normal 70 5" xfId="922" xr:uid="{00000000-0005-0000-0000-0000E2020000}"/>
    <cellStyle name="Normal 70 6" xfId="1075" xr:uid="{00000000-0005-0000-0000-0000E3020000}"/>
    <cellStyle name="Normal 70 7" xfId="769" xr:uid="{00000000-0005-0000-0000-0000E4020000}"/>
    <cellStyle name="Normal 71" xfId="402" xr:uid="{00000000-0005-0000-0000-0000E5020000}"/>
    <cellStyle name="Normal 71 2" xfId="403" xr:uid="{00000000-0005-0000-0000-0000E6020000}"/>
    <cellStyle name="Normal 71 3" xfId="404" xr:uid="{00000000-0005-0000-0000-0000E7020000}"/>
    <cellStyle name="Normal 71 3 2" xfId="925" xr:uid="{00000000-0005-0000-0000-0000E8020000}"/>
    <cellStyle name="Normal 71 3 3" xfId="1078" xr:uid="{00000000-0005-0000-0000-0000E9020000}"/>
    <cellStyle name="Normal 71 3 4" xfId="772" xr:uid="{00000000-0005-0000-0000-0000EA020000}"/>
    <cellStyle name="Normal 71 4" xfId="405" xr:uid="{00000000-0005-0000-0000-0000EB020000}"/>
    <cellStyle name="Normal 71 5" xfId="924" xr:uid="{00000000-0005-0000-0000-0000EC020000}"/>
    <cellStyle name="Normal 71 6" xfId="1077" xr:uid="{00000000-0005-0000-0000-0000ED020000}"/>
    <cellStyle name="Normal 71 7" xfId="771" xr:uid="{00000000-0005-0000-0000-0000EE020000}"/>
    <cellStyle name="Normal 72" xfId="406" xr:uid="{00000000-0005-0000-0000-0000EF020000}"/>
    <cellStyle name="Normal 72 2" xfId="407" xr:uid="{00000000-0005-0000-0000-0000F0020000}"/>
    <cellStyle name="Normal 72 3" xfId="408" xr:uid="{00000000-0005-0000-0000-0000F1020000}"/>
    <cellStyle name="Normal 72 3 2" xfId="927" xr:uid="{00000000-0005-0000-0000-0000F2020000}"/>
    <cellStyle name="Normal 72 3 3" xfId="1080" xr:uid="{00000000-0005-0000-0000-0000F3020000}"/>
    <cellStyle name="Normal 72 3 4" xfId="774" xr:uid="{00000000-0005-0000-0000-0000F4020000}"/>
    <cellStyle name="Normal 72 4" xfId="409" xr:uid="{00000000-0005-0000-0000-0000F5020000}"/>
    <cellStyle name="Normal 72 5" xfId="926" xr:uid="{00000000-0005-0000-0000-0000F6020000}"/>
    <cellStyle name="Normal 72 6" xfId="1079" xr:uid="{00000000-0005-0000-0000-0000F7020000}"/>
    <cellStyle name="Normal 72 7" xfId="773" xr:uid="{00000000-0005-0000-0000-0000F8020000}"/>
    <cellStyle name="Normal 73" xfId="410" xr:uid="{00000000-0005-0000-0000-0000F9020000}"/>
    <cellStyle name="Normal 73 2" xfId="411" xr:uid="{00000000-0005-0000-0000-0000FA020000}"/>
    <cellStyle name="Normal 73 3" xfId="412" xr:uid="{00000000-0005-0000-0000-0000FB020000}"/>
    <cellStyle name="Normal 73 3 2" xfId="929" xr:uid="{00000000-0005-0000-0000-0000FC020000}"/>
    <cellStyle name="Normal 73 3 3" xfId="1082" xr:uid="{00000000-0005-0000-0000-0000FD020000}"/>
    <cellStyle name="Normal 73 3 4" xfId="776" xr:uid="{00000000-0005-0000-0000-0000FE020000}"/>
    <cellStyle name="Normal 73 4" xfId="413" xr:uid="{00000000-0005-0000-0000-0000FF020000}"/>
    <cellStyle name="Normal 73 5" xfId="928" xr:uid="{00000000-0005-0000-0000-000000030000}"/>
    <cellStyle name="Normal 73 6" xfId="1081" xr:uid="{00000000-0005-0000-0000-000001030000}"/>
    <cellStyle name="Normal 73 7" xfId="775" xr:uid="{00000000-0005-0000-0000-000002030000}"/>
    <cellStyle name="Normal 74" xfId="414" xr:uid="{00000000-0005-0000-0000-000003030000}"/>
    <cellStyle name="Normal 74 2" xfId="415" xr:uid="{00000000-0005-0000-0000-000004030000}"/>
    <cellStyle name="Normal 74 3" xfId="416" xr:uid="{00000000-0005-0000-0000-000005030000}"/>
    <cellStyle name="Normal 74 3 2" xfId="931" xr:uid="{00000000-0005-0000-0000-000006030000}"/>
    <cellStyle name="Normal 74 3 3" xfId="1084" xr:uid="{00000000-0005-0000-0000-000007030000}"/>
    <cellStyle name="Normal 74 3 4" xfId="778" xr:uid="{00000000-0005-0000-0000-000008030000}"/>
    <cellStyle name="Normal 74 4" xfId="417" xr:uid="{00000000-0005-0000-0000-000009030000}"/>
    <cellStyle name="Normal 74 5" xfId="930" xr:uid="{00000000-0005-0000-0000-00000A030000}"/>
    <cellStyle name="Normal 74 6" xfId="1083" xr:uid="{00000000-0005-0000-0000-00000B030000}"/>
    <cellStyle name="Normal 74 7" xfId="777" xr:uid="{00000000-0005-0000-0000-00000C030000}"/>
    <cellStyle name="Normal 75" xfId="418" xr:uid="{00000000-0005-0000-0000-00000D030000}"/>
    <cellStyle name="Normal 75 2" xfId="419" xr:uid="{00000000-0005-0000-0000-00000E030000}"/>
    <cellStyle name="Normal 75 3" xfId="420" xr:uid="{00000000-0005-0000-0000-00000F030000}"/>
    <cellStyle name="Normal 75 3 2" xfId="933" xr:uid="{00000000-0005-0000-0000-000010030000}"/>
    <cellStyle name="Normal 75 3 3" xfId="1086" xr:uid="{00000000-0005-0000-0000-000011030000}"/>
    <cellStyle name="Normal 75 3 4" xfId="780" xr:uid="{00000000-0005-0000-0000-000012030000}"/>
    <cellStyle name="Normal 75 4" xfId="421" xr:uid="{00000000-0005-0000-0000-000013030000}"/>
    <cellStyle name="Normal 75 5" xfId="932" xr:uid="{00000000-0005-0000-0000-000014030000}"/>
    <cellStyle name="Normal 75 6" xfId="1085" xr:uid="{00000000-0005-0000-0000-000015030000}"/>
    <cellStyle name="Normal 75 7" xfId="779" xr:uid="{00000000-0005-0000-0000-000016030000}"/>
    <cellStyle name="Normal 76" xfId="422" xr:uid="{00000000-0005-0000-0000-000017030000}"/>
    <cellStyle name="Normal 76 2" xfId="423" xr:uid="{00000000-0005-0000-0000-000018030000}"/>
    <cellStyle name="Normal 76 3" xfId="424" xr:uid="{00000000-0005-0000-0000-000019030000}"/>
    <cellStyle name="Normal 76 3 2" xfId="935" xr:uid="{00000000-0005-0000-0000-00001A030000}"/>
    <cellStyle name="Normal 76 3 3" xfId="1088" xr:uid="{00000000-0005-0000-0000-00001B030000}"/>
    <cellStyle name="Normal 76 3 4" xfId="782" xr:uid="{00000000-0005-0000-0000-00001C030000}"/>
    <cellStyle name="Normal 76 4" xfId="425" xr:uid="{00000000-0005-0000-0000-00001D030000}"/>
    <cellStyle name="Normal 76 5" xfId="934" xr:uid="{00000000-0005-0000-0000-00001E030000}"/>
    <cellStyle name="Normal 76 6" xfId="1087" xr:uid="{00000000-0005-0000-0000-00001F030000}"/>
    <cellStyle name="Normal 76 7" xfId="781" xr:uid="{00000000-0005-0000-0000-000020030000}"/>
    <cellStyle name="Normal 77" xfId="426" xr:uid="{00000000-0005-0000-0000-000021030000}"/>
    <cellStyle name="Normal 77 2" xfId="427" xr:uid="{00000000-0005-0000-0000-000022030000}"/>
    <cellStyle name="Normal 77 3" xfId="428" xr:uid="{00000000-0005-0000-0000-000023030000}"/>
    <cellStyle name="Normal 77 3 2" xfId="937" xr:uid="{00000000-0005-0000-0000-000024030000}"/>
    <cellStyle name="Normal 77 3 3" xfId="1090" xr:uid="{00000000-0005-0000-0000-000025030000}"/>
    <cellStyle name="Normal 77 3 4" xfId="784" xr:uid="{00000000-0005-0000-0000-000026030000}"/>
    <cellStyle name="Normal 77 4" xfId="429" xr:uid="{00000000-0005-0000-0000-000027030000}"/>
    <cellStyle name="Normal 77 5" xfId="936" xr:uid="{00000000-0005-0000-0000-000028030000}"/>
    <cellStyle name="Normal 77 6" xfId="1089" xr:uid="{00000000-0005-0000-0000-000029030000}"/>
    <cellStyle name="Normal 77 7" xfId="783" xr:uid="{00000000-0005-0000-0000-00002A030000}"/>
    <cellStyle name="Normal 78" xfId="430" xr:uid="{00000000-0005-0000-0000-00002B030000}"/>
    <cellStyle name="Normal 79" xfId="431" xr:uid="{00000000-0005-0000-0000-00002C030000}"/>
    <cellStyle name="Normal 8" xfId="432" xr:uid="{00000000-0005-0000-0000-00002D030000}"/>
    <cellStyle name="Normal 8 2" xfId="433" xr:uid="{00000000-0005-0000-0000-00002E030000}"/>
    <cellStyle name="Normal 8 3" xfId="434" xr:uid="{00000000-0005-0000-0000-00002F030000}"/>
    <cellStyle name="Normal 8 4" xfId="938" xr:uid="{00000000-0005-0000-0000-000030030000}"/>
    <cellStyle name="Normal 8 5" xfId="1091" xr:uid="{00000000-0005-0000-0000-000031030000}"/>
    <cellStyle name="Normal 8 6" xfId="785" xr:uid="{00000000-0005-0000-0000-000032030000}"/>
    <cellStyle name="Normal 80" xfId="435" xr:uid="{00000000-0005-0000-0000-000033030000}"/>
    <cellStyle name="Normal 81" xfId="436" xr:uid="{00000000-0005-0000-0000-000034030000}"/>
    <cellStyle name="Normal 82" xfId="437" xr:uid="{00000000-0005-0000-0000-000035030000}"/>
    <cellStyle name="Normal 83" xfId="438" xr:uid="{00000000-0005-0000-0000-000036030000}"/>
    <cellStyle name="Normal 84" xfId="439" xr:uid="{00000000-0005-0000-0000-000037030000}"/>
    <cellStyle name="Normal 85" xfId="440" xr:uid="{00000000-0005-0000-0000-000038030000}"/>
    <cellStyle name="Normal 86" xfId="441" xr:uid="{00000000-0005-0000-0000-000039030000}"/>
    <cellStyle name="Normal 87" xfId="442" xr:uid="{00000000-0005-0000-0000-00003A030000}"/>
    <cellStyle name="Normal 88" xfId="443" xr:uid="{00000000-0005-0000-0000-00003B030000}"/>
    <cellStyle name="Normal 89" xfId="444" xr:uid="{00000000-0005-0000-0000-00003C030000}"/>
    <cellStyle name="Normal 9" xfId="445" xr:uid="{00000000-0005-0000-0000-00003D030000}"/>
    <cellStyle name="Normal 9 2" xfId="446" xr:uid="{00000000-0005-0000-0000-00003E030000}"/>
    <cellStyle name="Normal 9 3" xfId="447" xr:uid="{00000000-0005-0000-0000-00003F030000}"/>
    <cellStyle name="Normal 9 4" xfId="939" xr:uid="{00000000-0005-0000-0000-000040030000}"/>
    <cellStyle name="Normal 9 5" xfId="1092" xr:uid="{00000000-0005-0000-0000-000041030000}"/>
    <cellStyle name="Normal 9 6" xfId="786" xr:uid="{00000000-0005-0000-0000-000042030000}"/>
    <cellStyle name="Normal 90" xfId="448" xr:uid="{00000000-0005-0000-0000-000043030000}"/>
    <cellStyle name="Normal 91" xfId="449" xr:uid="{00000000-0005-0000-0000-000044030000}"/>
    <cellStyle name="Normal 92" xfId="450" xr:uid="{00000000-0005-0000-0000-000045030000}"/>
    <cellStyle name="Normal 93" xfId="451" xr:uid="{00000000-0005-0000-0000-000046030000}"/>
    <cellStyle name="Normal 94" xfId="452" xr:uid="{00000000-0005-0000-0000-000047030000}"/>
    <cellStyle name="Normal 95" xfId="453" xr:uid="{00000000-0005-0000-0000-000048030000}"/>
    <cellStyle name="Normal 96" xfId="454" xr:uid="{00000000-0005-0000-0000-000049030000}"/>
    <cellStyle name="Normal 97" xfId="455" xr:uid="{00000000-0005-0000-0000-00004A030000}"/>
    <cellStyle name="Normal 98" xfId="456" xr:uid="{00000000-0005-0000-0000-00004B030000}"/>
    <cellStyle name="Normal 99" xfId="457" xr:uid="{00000000-0005-0000-0000-00004C030000}"/>
    <cellStyle name="Normal_TRSA All Records" xfId="37" xr:uid="{00000000-0005-0000-0000-00004D030000}"/>
    <cellStyle name="Note 2" xfId="66" xr:uid="{00000000-0005-0000-0000-00004E030000}"/>
    <cellStyle name="Note 2 2" xfId="458" xr:uid="{00000000-0005-0000-0000-00004F030000}"/>
    <cellStyle name="Note 2 2 2" xfId="940" xr:uid="{00000000-0005-0000-0000-000050030000}"/>
    <cellStyle name="Note 2 3" xfId="820" xr:uid="{00000000-0005-0000-0000-000051030000}"/>
    <cellStyle name="Note 3" xfId="459" xr:uid="{00000000-0005-0000-0000-000052030000}"/>
    <cellStyle name="Note 3 2" xfId="941" xr:uid="{00000000-0005-0000-0000-000053030000}"/>
    <cellStyle name="Note 4" xfId="460" xr:uid="{00000000-0005-0000-0000-000054030000}"/>
    <cellStyle name="Note 4 2" xfId="942" xr:uid="{00000000-0005-0000-0000-000055030000}"/>
    <cellStyle name="Output 2" xfId="67" xr:uid="{00000000-0005-0000-0000-000056030000}"/>
    <cellStyle name="Output 2 2" xfId="461" xr:uid="{00000000-0005-0000-0000-000057030000}"/>
    <cellStyle name="Output 2 2 2" xfId="943" xr:uid="{00000000-0005-0000-0000-000058030000}"/>
    <cellStyle name="Output 2 3" xfId="821" xr:uid="{00000000-0005-0000-0000-000059030000}"/>
    <cellStyle name="Output 3" xfId="462" xr:uid="{00000000-0005-0000-0000-00005A030000}"/>
    <cellStyle name="Output 3 2" xfId="944" xr:uid="{00000000-0005-0000-0000-00005B030000}"/>
    <cellStyle name="Output Amounts" xfId="463" xr:uid="{00000000-0005-0000-0000-00005C030000}"/>
    <cellStyle name="Output Column Headings" xfId="464" xr:uid="{00000000-0005-0000-0000-00005D030000}"/>
    <cellStyle name="Output Line Items" xfId="465" xr:uid="{00000000-0005-0000-0000-00005E030000}"/>
    <cellStyle name="Output Report Heading" xfId="466" xr:uid="{00000000-0005-0000-0000-00005F030000}"/>
    <cellStyle name="Output Report Title" xfId="467" xr:uid="{00000000-0005-0000-0000-000060030000}"/>
    <cellStyle name="Percent [2]" xfId="469" xr:uid="{00000000-0005-0000-0000-000061030000}"/>
    <cellStyle name="Percent 10" xfId="470" xr:uid="{00000000-0005-0000-0000-000062030000}"/>
    <cellStyle name="Percent 10 2" xfId="471" xr:uid="{00000000-0005-0000-0000-000063030000}"/>
    <cellStyle name="Percent 10 2 2" xfId="472" xr:uid="{00000000-0005-0000-0000-000064030000}"/>
    <cellStyle name="Percent 10 2 3" xfId="473" xr:uid="{00000000-0005-0000-0000-000065030000}"/>
    <cellStyle name="Percent 10 3" xfId="474" xr:uid="{00000000-0005-0000-0000-000066030000}"/>
    <cellStyle name="Percent 10 3 2" xfId="475" xr:uid="{00000000-0005-0000-0000-000067030000}"/>
    <cellStyle name="Percent 11" xfId="476" xr:uid="{00000000-0005-0000-0000-000068030000}"/>
    <cellStyle name="Percent 11 2" xfId="477" xr:uid="{00000000-0005-0000-0000-000069030000}"/>
    <cellStyle name="Percent 11 2 2" xfId="478" xr:uid="{00000000-0005-0000-0000-00006A030000}"/>
    <cellStyle name="Percent 11 2 3" xfId="479" xr:uid="{00000000-0005-0000-0000-00006B030000}"/>
    <cellStyle name="Percent 11 3" xfId="480" xr:uid="{00000000-0005-0000-0000-00006C030000}"/>
    <cellStyle name="Percent 11 3 2" xfId="481" xr:uid="{00000000-0005-0000-0000-00006D030000}"/>
    <cellStyle name="Percent 12" xfId="482" xr:uid="{00000000-0005-0000-0000-00006E030000}"/>
    <cellStyle name="Percent 12 2" xfId="483" xr:uid="{00000000-0005-0000-0000-00006F030000}"/>
    <cellStyle name="Percent 12 3" xfId="484" xr:uid="{00000000-0005-0000-0000-000070030000}"/>
    <cellStyle name="Percent 12 4" xfId="485" xr:uid="{00000000-0005-0000-0000-000071030000}"/>
    <cellStyle name="Percent 12 4 2" xfId="486" xr:uid="{00000000-0005-0000-0000-000072030000}"/>
    <cellStyle name="Percent 13" xfId="487" xr:uid="{00000000-0005-0000-0000-000073030000}"/>
    <cellStyle name="Percent 13 2" xfId="488" xr:uid="{00000000-0005-0000-0000-000074030000}"/>
    <cellStyle name="Percent 13 3" xfId="489" xr:uid="{00000000-0005-0000-0000-000075030000}"/>
    <cellStyle name="Percent 13 4" xfId="490" xr:uid="{00000000-0005-0000-0000-000076030000}"/>
    <cellStyle name="Percent 13 4 2" xfId="491" xr:uid="{00000000-0005-0000-0000-000077030000}"/>
    <cellStyle name="Percent 14" xfId="492" xr:uid="{00000000-0005-0000-0000-000078030000}"/>
    <cellStyle name="Percent 14 2" xfId="493" xr:uid="{00000000-0005-0000-0000-000079030000}"/>
    <cellStyle name="Percent 14 3" xfId="494" xr:uid="{00000000-0005-0000-0000-00007A030000}"/>
    <cellStyle name="Percent 14 4" xfId="495" xr:uid="{00000000-0005-0000-0000-00007B030000}"/>
    <cellStyle name="Percent 14 4 2" xfId="496" xr:uid="{00000000-0005-0000-0000-00007C030000}"/>
    <cellStyle name="Percent 15" xfId="497" xr:uid="{00000000-0005-0000-0000-00007D030000}"/>
    <cellStyle name="Percent 15 2" xfId="498" xr:uid="{00000000-0005-0000-0000-00007E030000}"/>
    <cellStyle name="Percent 15 3" xfId="499" xr:uid="{00000000-0005-0000-0000-00007F030000}"/>
    <cellStyle name="Percent 15 4" xfId="500" xr:uid="{00000000-0005-0000-0000-000080030000}"/>
    <cellStyle name="Percent 15 4 2" xfId="501" xr:uid="{00000000-0005-0000-0000-000081030000}"/>
    <cellStyle name="Percent 16" xfId="502" xr:uid="{00000000-0005-0000-0000-000082030000}"/>
    <cellStyle name="Percent 16 2" xfId="503" xr:uid="{00000000-0005-0000-0000-000083030000}"/>
    <cellStyle name="Percent 16 3" xfId="504" xr:uid="{00000000-0005-0000-0000-000084030000}"/>
    <cellStyle name="Percent 16 4" xfId="505" xr:uid="{00000000-0005-0000-0000-000085030000}"/>
    <cellStyle name="Percent 16 4 2" xfId="506" xr:uid="{00000000-0005-0000-0000-000086030000}"/>
    <cellStyle name="Percent 17" xfId="507" xr:uid="{00000000-0005-0000-0000-000087030000}"/>
    <cellStyle name="Percent 17 2" xfId="508" xr:uid="{00000000-0005-0000-0000-000088030000}"/>
    <cellStyle name="Percent 18" xfId="509" xr:uid="{00000000-0005-0000-0000-000089030000}"/>
    <cellStyle name="Percent 19" xfId="510" xr:uid="{00000000-0005-0000-0000-00008A030000}"/>
    <cellStyle name="Percent 2" xfId="511" xr:uid="{00000000-0005-0000-0000-00008B030000}"/>
    <cellStyle name="Percent 20" xfId="512" xr:uid="{00000000-0005-0000-0000-00008C030000}"/>
    <cellStyle name="Percent 20 2" xfId="513" xr:uid="{00000000-0005-0000-0000-00008D030000}"/>
    <cellStyle name="Percent 21" xfId="514" xr:uid="{00000000-0005-0000-0000-00008E030000}"/>
    <cellStyle name="Percent 22" xfId="515" xr:uid="{00000000-0005-0000-0000-00008F030000}"/>
    <cellStyle name="Percent 23" xfId="516" xr:uid="{00000000-0005-0000-0000-000090030000}"/>
    <cellStyle name="Percent 24" xfId="517" xr:uid="{00000000-0005-0000-0000-000091030000}"/>
    <cellStyle name="Percent 25" xfId="518" xr:uid="{00000000-0005-0000-0000-000092030000}"/>
    <cellStyle name="Percent 26" xfId="519" xr:uid="{00000000-0005-0000-0000-000093030000}"/>
    <cellStyle name="Percent 27" xfId="520" xr:uid="{00000000-0005-0000-0000-000094030000}"/>
    <cellStyle name="Percent 28" xfId="521" xr:uid="{00000000-0005-0000-0000-000095030000}"/>
    <cellStyle name="Percent 29" xfId="522" xr:uid="{00000000-0005-0000-0000-000096030000}"/>
    <cellStyle name="Percent 3" xfId="523" xr:uid="{00000000-0005-0000-0000-000097030000}"/>
    <cellStyle name="Percent 30" xfId="524" xr:uid="{00000000-0005-0000-0000-000098030000}"/>
    <cellStyle name="Percent 31" xfId="525" xr:uid="{00000000-0005-0000-0000-000099030000}"/>
    <cellStyle name="Percent 32" xfId="526" xr:uid="{00000000-0005-0000-0000-00009A030000}"/>
    <cellStyle name="Percent 33" xfId="527" xr:uid="{00000000-0005-0000-0000-00009B030000}"/>
    <cellStyle name="Percent 34" xfId="528" xr:uid="{00000000-0005-0000-0000-00009C030000}"/>
    <cellStyle name="Percent 35" xfId="529" xr:uid="{00000000-0005-0000-0000-00009D030000}"/>
    <cellStyle name="Percent 36" xfId="530" xr:uid="{00000000-0005-0000-0000-00009E030000}"/>
    <cellStyle name="Percent 37" xfId="531" xr:uid="{00000000-0005-0000-0000-00009F030000}"/>
    <cellStyle name="Percent 38" xfId="532" xr:uid="{00000000-0005-0000-0000-0000A0030000}"/>
    <cellStyle name="Percent 39" xfId="533" xr:uid="{00000000-0005-0000-0000-0000A1030000}"/>
    <cellStyle name="Percent 39 2" xfId="534" xr:uid="{00000000-0005-0000-0000-0000A2030000}"/>
    <cellStyle name="Percent 39 3" xfId="535" xr:uid="{00000000-0005-0000-0000-0000A3030000}"/>
    <cellStyle name="Percent 39 4" xfId="536" xr:uid="{00000000-0005-0000-0000-0000A4030000}"/>
    <cellStyle name="Percent 39 5" xfId="537" xr:uid="{00000000-0005-0000-0000-0000A5030000}"/>
    <cellStyle name="Percent 4" xfId="538" xr:uid="{00000000-0005-0000-0000-0000A6030000}"/>
    <cellStyle name="Percent 40" xfId="539" xr:uid="{00000000-0005-0000-0000-0000A7030000}"/>
    <cellStyle name="Percent 41" xfId="540" xr:uid="{00000000-0005-0000-0000-0000A8030000}"/>
    <cellStyle name="Percent 42" xfId="541" xr:uid="{00000000-0005-0000-0000-0000A9030000}"/>
    <cellStyle name="Percent 43" xfId="542" xr:uid="{00000000-0005-0000-0000-0000AA030000}"/>
    <cellStyle name="Percent 43 2" xfId="543" xr:uid="{00000000-0005-0000-0000-0000AB030000}"/>
    <cellStyle name="Percent 43 3" xfId="544" xr:uid="{00000000-0005-0000-0000-0000AC030000}"/>
    <cellStyle name="Percent 43 3 2" xfId="545" xr:uid="{00000000-0005-0000-0000-0000AD030000}"/>
    <cellStyle name="Percent 44" xfId="546" xr:uid="{00000000-0005-0000-0000-0000AE030000}"/>
    <cellStyle name="Percent 44 2" xfId="547" xr:uid="{00000000-0005-0000-0000-0000AF030000}"/>
    <cellStyle name="Percent 44 3" xfId="548" xr:uid="{00000000-0005-0000-0000-0000B0030000}"/>
    <cellStyle name="Percent 44 3 2" xfId="549" xr:uid="{00000000-0005-0000-0000-0000B1030000}"/>
    <cellStyle name="Percent 45" xfId="550" xr:uid="{00000000-0005-0000-0000-0000B2030000}"/>
    <cellStyle name="Percent 45 2" xfId="551" xr:uid="{00000000-0005-0000-0000-0000B3030000}"/>
    <cellStyle name="Percent 45 3" xfId="552" xr:uid="{00000000-0005-0000-0000-0000B4030000}"/>
    <cellStyle name="Percent 45 3 2" xfId="553" xr:uid="{00000000-0005-0000-0000-0000B5030000}"/>
    <cellStyle name="Percent 46" xfId="554" xr:uid="{00000000-0005-0000-0000-0000B6030000}"/>
    <cellStyle name="Percent 47" xfId="555" xr:uid="{00000000-0005-0000-0000-0000B7030000}"/>
    <cellStyle name="Percent 48" xfId="556" xr:uid="{00000000-0005-0000-0000-0000B8030000}"/>
    <cellStyle name="Percent 49" xfId="557" xr:uid="{00000000-0005-0000-0000-0000B9030000}"/>
    <cellStyle name="Percent 5" xfId="558" xr:uid="{00000000-0005-0000-0000-0000BA030000}"/>
    <cellStyle name="Percent 50" xfId="559" xr:uid="{00000000-0005-0000-0000-0000BB030000}"/>
    <cellStyle name="Percent 51" xfId="560" xr:uid="{00000000-0005-0000-0000-0000BC030000}"/>
    <cellStyle name="Percent 52" xfId="561" xr:uid="{00000000-0005-0000-0000-0000BD030000}"/>
    <cellStyle name="Percent 53" xfId="562" xr:uid="{00000000-0005-0000-0000-0000BE030000}"/>
    <cellStyle name="Percent 54" xfId="563" xr:uid="{00000000-0005-0000-0000-0000BF030000}"/>
    <cellStyle name="Percent 55" xfId="564" xr:uid="{00000000-0005-0000-0000-0000C0030000}"/>
    <cellStyle name="Percent 56" xfId="565" xr:uid="{00000000-0005-0000-0000-0000C1030000}"/>
    <cellStyle name="Percent 57" xfId="566" xr:uid="{00000000-0005-0000-0000-0000C2030000}"/>
    <cellStyle name="Percent 58" xfId="567" xr:uid="{00000000-0005-0000-0000-0000C3030000}"/>
    <cellStyle name="Percent 59" xfId="568" xr:uid="{00000000-0005-0000-0000-0000C4030000}"/>
    <cellStyle name="Percent 6" xfId="569" xr:uid="{00000000-0005-0000-0000-0000C5030000}"/>
    <cellStyle name="Percent 60" xfId="570" xr:uid="{00000000-0005-0000-0000-0000C6030000}"/>
    <cellStyle name="Percent 61" xfId="571" xr:uid="{00000000-0005-0000-0000-0000C7030000}"/>
    <cellStyle name="Percent 62" xfId="572" xr:uid="{00000000-0005-0000-0000-0000C8030000}"/>
    <cellStyle name="Percent 63" xfId="573" xr:uid="{00000000-0005-0000-0000-0000C9030000}"/>
    <cellStyle name="Percent 64" xfId="574" xr:uid="{00000000-0005-0000-0000-0000CA030000}"/>
    <cellStyle name="Percent 65" xfId="575" xr:uid="{00000000-0005-0000-0000-0000CB030000}"/>
    <cellStyle name="Percent 66" xfId="576" xr:uid="{00000000-0005-0000-0000-0000CC030000}"/>
    <cellStyle name="Percent 67" xfId="577" xr:uid="{00000000-0005-0000-0000-0000CD030000}"/>
    <cellStyle name="Percent 68" xfId="578" xr:uid="{00000000-0005-0000-0000-0000CE030000}"/>
    <cellStyle name="Percent 69" xfId="579" xr:uid="{00000000-0005-0000-0000-0000CF030000}"/>
    <cellStyle name="Percent 7" xfId="580" xr:uid="{00000000-0005-0000-0000-0000D0030000}"/>
    <cellStyle name="Percent 7 2" xfId="581" xr:uid="{00000000-0005-0000-0000-0000D1030000}"/>
    <cellStyle name="Percent 7 3" xfId="582" xr:uid="{00000000-0005-0000-0000-0000D2030000}"/>
    <cellStyle name="Percent 70" xfId="583" xr:uid="{00000000-0005-0000-0000-0000D3030000}"/>
    <cellStyle name="Percent 70 2" xfId="945" xr:uid="{00000000-0005-0000-0000-0000D4030000}"/>
    <cellStyle name="Percent 70 3" xfId="1093" xr:uid="{00000000-0005-0000-0000-0000D5030000}"/>
    <cellStyle name="Percent 70 4" xfId="787" xr:uid="{00000000-0005-0000-0000-0000D6030000}"/>
    <cellStyle name="Percent 71" xfId="584" xr:uid="{00000000-0005-0000-0000-0000D7030000}"/>
    <cellStyle name="Percent 72" xfId="585" xr:uid="{00000000-0005-0000-0000-0000D8030000}"/>
    <cellStyle name="Percent 73" xfId="586" xr:uid="{00000000-0005-0000-0000-0000D9030000}"/>
    <cellStyle name="Percent 74" xfId="587" xr:uid="{00000000-0005-0000-0000-0000DA030000}"/>
    <cellStyle name="Percent 75" xfId="588" xr:uid="{00000000-0005-0000-0000-0000DB030000}"/>
    <cellStyle name="Percent 76" xfId="589" xr:uid="{00000000-0005-0000-0000-0000DC030000}"/>
    <cellStyle name="Percent 76 2" xfId="590" xr:uid="{00000000-0005-0000-0000-0000DD030000}"/>
    <cellStyle name="Percent 77" xfId="591" xr:uid="{00000000-0005-0000-0000-0000DE030000}"/>
    <cellStyle name="Percent 78" xfId="468" xr:uid="{00000000-0005-0000-0000-0000DF030000}"/>
    <cellStyle name="Percent 8" xfId="592" xr:uid="{00000000-0005-0000-0000-0000E0030000}"/>
    <cellStyle name="Percent 8 2" xfId="593" xr:uid="{00000000-0005-0000-0000-0000E1030000}"/>
    <cellStyle name="Percent 8 3" xfId="594" xr:uid="{00000000-0005-0000-0000-0000E2030000}"/>
    <cellStyle name="Percent 9" xfId="595" xr:uid="{00000000-0005-0000-0000-0000E3030000}"/>
    <cellStyle name="Percent 9 2" xfId="596" xr:uid="{00000000-0005-0000-0000-0000E4030000}"/>
    <cellStyle name="Percent 9 3" xfId="597" xr:uid="{00000000-0005-0000-0000-0000E5030000}"/>
    <cellStyle name="Pourcentage 2" xfId="598" xr:uid="{00000000-0005-0000-0000-0000E6030000}"/>
    <cellStyle name="SAPBorder" xfId="599" xr:uid="{00000000-0005-0000-0000-0000E7030000}"/>
    <cellStyle name="SAPBorder 2" xfId="600" xr:uid="{00000000-0005-0000-0000-0000E8030000}"/>
    <cellStyle name="SAPBorder 2 2" xfId="1095" xr:uid="{00000000-0005-0000-0000-0000E9030000}"/>
    <cellStyle name="SAPBorder 3" xfId="1094" xr:uid="{00000000-0005-0000-0000-0000EA030000}"/>
    <cellStyle name="SAPDataCell" xfId="601" xr:uid="{00000000-0005-0000-0000-0000EB030000}"/>
    <cellStyle name="SAPDataTotalCell" xfId="602" xr:uid="{00000000-0005-0000-0000-0000EC030000}"/>
    <cellStyle name="SAPDimensionCell" xfId="603" xr:uid="{00000000-0005-0000-0000-0000ED030000}"/>
    <cellStyle name="SAPDimensionCell 2" xfId="604" xr:uid="{00000000-0005-0000-0000-0000EE030000}"/>
    <cellStyle name="SAPDimensionCell 2 2" xfId="947" xr:uid="{00000000-0005-0000-0000-0000EF030000}"/>
    <cellStyle name="SAPDimensionCell 3" xfId="946" xr:uid="{00000000-0005-0000-0000-0000F0030000}"/>
    <cellStyle name="SAPEditableDataCell" xfId="605" xr:uid="{00000000-0005-0000-0000-0000F1030000}"/>
    <cellStyle name="SAPEditableDataCell 2" xfId="606" xr:uid="{00000000-0005-0000-0000-0000F2030000}"/>
    <cellStyle name="SAPEditableDataCell 2 2" xfId="949" xr:uid="{00000000-0005-0000-0000-0000F3030000}"/>
    <cellStyle name="SAPEditableDataCell 3" xfId="948" xr:uid="{00000000-0005-0000-0000-0000F4030000}"/>
    <cellStyle name="SAPEditableDataTotalCell" xfId="607" xr:uid="{00000000-0005-0000-0000-0000F5030000}"/>
    <cellStyle name="SAPEditableDataTotalCell 2" xfId="608" xr:uid="{00000000-0005-0000-0000-0000F6030000}"/>
    <cellStyle name="SAPEditableDataTotalCell 2 2" xfId="951" xr:uid="{00000000-0005-0000-0000-0000F7030000}"/>
    <cellStyle name="SAPEditableDataTotalCell 3" xfId="950" xr:uid="{00000000-0005-0000-0000-0000F8030000}"/>
    <cellStyle name="SAPEmphasized" xfId="609" xr:uid="{00000000-0005-0000-0000-0000F9030000}"/>
    <cellStyle name="SAPEmphasized 2" xfId="610" xr:uid="{00000000-0005-0000-0000-0000FA030000}"/>
    <cellStyle name="SAPEmphasized 2 2" xfId="1098" xr:uid="{00000000-0005-0000-0000-0000FB030000}"/>
    <cellStyle name="SAPEmphasized 3" xfId="1097" xr:uid="{00000000-0005-0000-0000-0000FC030000}"/>
    <cellStyle name="SAPEmphasizedEditableDataCell" xfId="611" xr:uid="{00000000-0005-0000-0000-0000FD030000}"/>
    <cellStyle name="SAPEmphasizedEditableDataCell 2" xfId="612" xr:uid="{00000000-0005-0000-0000-0000FE030000}"/>
    <cellStyle name="SAPEmphasizedEditableDataCell 2 2" xfId="953" xr:uid="{00000000-0005-0000-0000-0000FF030000}"/>
    <cellStyle name="SAPEmphasizedEditableDataCell 3" xfId="952" xr:uid="{00000000-0005-0000-0000-000000040000}"/>
    <cellStyle name="SAPEmphasizedEditableDataTotalCell" xfId="613" xr:uid="{00000000-0005-0000-0000-000001040000}"/>
    <cellStyle name="SAPEmphasizedEditableDataTotalCell 2" xfId="614" xr:uid="{00000000-0005-0000-0000-000002040000}"/>
    <cellStyle name="SAPEmphasizedEditableDataTotalCell 2 2" xfId="955" xr:uid="{00000000-0005-0000-0000-000003040000}"/>
    <cellStyle name="SAPEmphasizedEditableDataTotalCell 3" xfId="954" xr:uid="{00000000-0005-0000-0000-000004040000}"/>
    <cellStyle name="SAPEmphasizedLockedDataCell" xfId="615" xr:uid="{00000000-0005-0000-0000-000005040000}"/>
    <cellStyle name="SAPEmphasizedLockedDataTotalCell" xfId="616" xr:uid="{00000000-0005-0000-0000-000006040000}"/>
    <cellStyle name="SAPEmphasizedReadonlyDataCell" xfId="617" xr:uid="{00000000-0005-0000-0000-000007040000}"/>
    <cellStyle name="SAPEmphasizedReadonlyDataCell 2" xfId="618" xr:uid="{00000000-0005-0000-0000-000008040000}"/>
    <cellStyle name="SAPEmphasizedReadonlyDataCell 2 2" xfId="957" xr:uid="{00000000-0005-0000-0000-000009040000}"/>
    <cellStyle name="SAPEmphasizedReadonlyDataCell 3" xfId="956" xr:uid="{00000000-0005-0000-0000-00000A040000}"/>
    <cellStyle name="SAPEmphasizedReadonlyDataTotalCell" xfId="619" xr:uid="{00000000-0005-0000-0000-00000B040000}"/>
    <cellStyle name="SAPEmphasizedTotal" xfId="620" xr:uid="{00000000-0005-0000-0000-00000C040000}"/>
    <cellStyle name="SAPExceptionLevel1" xfId="621" xr:uid="{00000000-0005-0000-0000-00000D040000}"/>
    <cellStyle name="SAPExceptionLevel1 2" xfId="622" xr:uid="{00000000-0005-0000-0000-00000E040000}"/>
    <cellStyle name="SAPExceptionLevel1 2 2" xfId="1100" xr:uid="{00000000-0005-0000-0000-00000F040000}"/>
    <cellStyle name="SAPExceptionLevel1 3" xfId="1099" xr:uid="{00000000-0005-0000-0000-000010040000}"/>
    <cellStyle name="SAPExceptionLevel2" xfId="623" xr:uid="{00000000-0005-0000-0000-000011040000}"/>
    <cellStyle name="SAPExceptionLevel2 2" xfId="624" xr:uid="{00000000-0005-0000-0000-000012040000}"/>
    <cellStyle name="SAPExceptionLevel2 2 2" xfId="1102" xr:uid="{00000000-0005-0000-0000-000013040000}"/>
    <cellStyle name="SAPExceptionLevel2 3" xfId="1101" xr:uid="{00000000-0005-0000-0000-000014040000}"/>
    <cellStyle name="SAPExceptionLevel3" xfId="625" xr:uid="{00000000-0005-0000-0000-000015040000}"/>
    <cellStyle name="SAPExceptionLevel3 2" xfId="626" xr:uid="{00000000-0005-0000-0000-000016040000}"/>
    <cellStyle name="SAPExceptionLevel3 2 2" xfId="1104" xr:uid="{00000000-0005-0000-0000-000017040000}"/>
    <cellStyle name="SAPExceptionLevel3 3" xfId="1103" xr:uid="{00000000-0005-0000-0000-000018040000}"/>
    <cellStyle name="SAPExceptionLevel4" xfId="627" xr:uid="{00000000-0005-0000-0000-000019040000}"/>
    <cellStyle name="SAPExceptionLevel4 2" xfId="628" xr:uid="{00000000-0005-0000-0000-00001A040000}"/>
    <cellStyle name="SAPExceptionLevel4 2 2" xfId="1106" xr:uid="{00000000-0005-0000-0000-00001B040000}"/>
    <cellStyle name="SAPExceptionLevel4 3" xfId="1105" xr:uid="{00000000-0005-0000-0000-00001C040000}"/>
    <cellStyle name="SAPExceptionLevel5" xfId="629" xr:uid="{00000000-0005-0000-0000-00001D040000}"/>
    <cellStyle name="SAPExceptionLevel5 2" xfId="630" xr:uid="{00000000-0005-0000-0000-00001E040000}"/>
    <cellStyle name="SAPExceptionLevel5 2 2" xfId="1108" xr:uid="{00000000-0005-0000-0000-00001F040000}"/>
    <cellStyle name="SAPExceptionLevel5 3" xfId="1107" xr:uid="{00000000-0005-0000-0000-000020040000}"/>
    <cellStyle name="SAPExceptionLevel6" xfId="631" xr:uid="{00000000-0005-0000-0000-000021040000}"/>
    <cellStyle name="SAPExceptionLevel6 2" xfId="632" xr:uid="{00000000-0005-0000-0000-000022040000}"/>
    <cellStyle name="SAPExceptionLevel6 2 2" xfId="1110" xr:uid="{00000000-0005-0000-0000-000023040000}"/>
    <cellStyle name="SAPExceptionLevel6 3" xfId="1109" xr:uid="{00000000-0005-0000-0000-000024040000}"/>
    <cellStyle name="SAPExceptionLevel7" xfId="633" xr:uid="{00000000-0005-0000-0000-000025040000}"/>
    <cellStyle name="SAPExceptionLevel7 2" xfId="634" xr:uid="{00000000-0005-0000-0000-000026040000}"/>
    <cellStyle name="SAPExceptionLevel7 2 2" xfId="1112" xr:uid="{00000000-0005-0000-0000-000027040000}"/>
    <cellStyle name="SAPExceptionLevel7 3" xfId="1111" xr:uid="{00000000-0005-0000-0000-000028040000}"/>
    <cellStyle name="SAPExceptionLevel8" xfId="635" xr:uid="{00000000-0005-0000-0000-000029040000}"/>
    <cellStyle name="SAPExceptionLevel8 2" xfId="636" xr:uid="{00000000-0005-0000-0000-00002A040000}"/>
    <cellStyle name="SAPExceptionLevel8 2 2" xfId="1114" xr:uid="{00000000-0005-0000-0000-00002B040000}"/>
    <cellStyle name="SAPExceptionLevel8 3" xfId="1113" xr:uid="{00000000-0005-0000-0000-00002C040000}"/>
    <cellStyle name="SAPExceptionLevel9" xfId="637" xr:uid="{00000000-0005-0000-0000-00002D040000}"/>
    <cellStyle name="SAPExceptionLevel9 2" xfId="638" xr:uid="{00000000-0005-0000-0000-00002E040000}"/>
    <cellStyle name="SAPExceptionLevel9 2 2" xfId="1116" xr:uid="{00000000-0005-0000-0000-00002F040000}"/>
    <cellStyle name="SAPExceptionLevel9 3" xfId="1115" xr:uid="{00000000-0005-0000-0000-000030040000}"/>
    <cellStyle name="SAPHierarchyCell" xfId="639" xr:uid="{00000000-0005-0000-0000-000031040000}"/>
    <cellStyle name="SAPHierarchyCell0" xfId="640" xr:uid="{00000000-0005-0000-0000-000032040000}"/>
    <cellStyle name="SAPHierarchyCell0 2" xfId="641" xr:uid="{00000000-0005-0000-0000-000033040000}"/>
    <cellStyle name="SAPHierarchyCell0 2 2" xfId="959" xr:uid="{00000000-0005-0000-0000-000034040000}"/>
    <cellStyle name="SAPHierarchyCell0 3" xfId="958" xr:uid="{00000000-0005-0000-0000-000035040000}"/>
    <cellStyle name="SAPHierarchyCell1" xfId="642" xr:uid="{00000000-0005-0000-0000-000036040000}"/>
    <cellStyle name="SAPHierarchyCell1 2" xfId="643" xr:uid="{00000000-0005-0000-0000-000037040000}"/>
    <cellStyle name="SAPHierarchyCell1 2 2" xfId="961" xr:uid="{00000000-0005-0000-0000-000038040000}"/>
    <cellStyle name="SAPHierarchyCell1 3" xfId="960" xr:uid="{00000000-0005-0000-0000-000039040000}"/>
    <cellStyle name="SAPHierarchyCell2" xfId="644" xr:uid="{00000000-0005-0000-0000-00003A040000}"/>
    <cellStyle name="SAPHierarchyCell2 2" xfId="645" xr:uid="{00000000-0005-0000-0000-00003B040000}"/>
    <cellStyle name="SAPHierarchyCell2 2 2" xfId="963" xr:uid="{00000000-0005-0000-0000-00003C040000}"/>
    <cellStyle name="SAPHierarchyCell2 3" xfId="962" xr:uid="{00000000-0005-0000-0000-00003D040000}"/>
    <cellStyle name="SAPHierarchyCell3" xfId="646" xr:uid="{00000000-0005-0000-0000-00003E040000}"/>
    <cellStyle name="SAPHierarchyCell3 2" xfId="647" xr:uid="{00000000-0005-0000-0000-00003F040000}"/>
    <cellStyle name="SAPHierarchyCell3 2 2" xfId="965" xr:uid="{00000000-0005-0000-0000-000040040000}"/>
    <cellStyle name="SAPHierarchyCell3 3" xfId="964" xr:uid="{00000000-0005-0000-0000-000041040000}"/>
    <cellStyle name="SAPHierarchyCell4" xfId="648" xr:uid="{00000000-0005-0000-0000-000042040000}"/>
    <cellStyle name="SAPHierarchyCell4 2" xfId="649" xr:uid="{00000000-0005-0000-0000-000043040000}"/>
    <cellStyle name="SAPHierarchyCell4 2 2" xfId="967" xr:uid="{00000000-0005-0000-0000-000044040000}"/>
    <cellStyle name="SAPHierarchyCell4 3" xfId="966" xr:uid="{00000000-0005-0000-0000-000045040000}"/>
    <cellStyle name="SAPHierarchyOddCell" xfId="650" xr:uid="{00000000-0005-0000-0000-000046040000}"/>
    <cellStyle name="SAPLockedDataCell" xfId="651" xr:uid="{00000000-0005-0000-0000-000047040000}"/>
    <cellStyle name="SAPLockedDataTotalCell" xfId="652" xr:uid="{00000000-0005-0000-0000-000048040000}"/>
    <cellStyle name="SAPMemberCell" xfId="653" xr:uid="{00000000-0005-0000-0000-000049040000}"/>
    <cellStyle name="SAPMemberCell 2" xfId="654" xr:uid="{00000000-0005-0000-0000-00004A040000}"/>
    <cellStyle name="SAPMemberCell 2 2" xfId="1118" xr:uid="{00000000-0005-0000-0000-00004B040000}"/>
    <cellStyle name="SAPMemberCell 3" xfId="1117" xr:uid="{00000000-0005-0000-0000-00004C040000}"/>
    <cellStyle name="SAPMemberTotalCell" xfId="655" xr:uid="{00000000-0005-0000-0000-00004D040000}"/>
    <cellStyle name="SAPMemberTotalCell 2" xfId="656" xr:uid="{00000000-0005-0000-0000-00004E040000}"/>
    <cellStyle name="SAPMemberTotalCell 2 2" xfId="969" xr:uid="{00000000-0005-0000-0000-00004F040000}"/>
    <cellStyle name="SAPMemberTotalCell 3" xfId="968" xr:uid="{00000000-0005-0000-0000-000050040000}"/>
    <cellStyle name="SAPReadonlyDataCell" xfId="657" xr:uid="{00000000-0005-0000-0000-000051040000}"/>
    <cellStyle name="SAPReadonlyDataCell 2" xfId="658" xr:uid="{00000000-0005-0000-0000-000052040000}"/>
    <cellStyle name="SAPReadonlyDataCell 2 2" xfId="971" xr:uid="{00000000-0005-0000-0000-000053040000}"/>
    <cellStyle name="SAPReadonlyDataCell 3" xfId="970" xr:uid="{00000000-0005-0000-0000-000054040000}"/>
    <cellStyle name="SAPReadonlyDataTotalCell" xfId="659" xr:uid="{00000000-0005-0000-0000-000055040000}"/>
    <cellStyle name="Satisfaisant" xfId="660" xr:uid="{00000000-0005-0000-0000-000056040000}"/>
    <cellStyle name="Sortie" xfId="661" xr:uid="{00000000-0005-0000-0000-000057040000}"/>
    <cellStyle name="Sortie 2" xfId="662" xr:uid="{00000000-0005-0000-0000-000058040000}"/>
    <cellStyle name="Sortie 2 2" xfId="973" xr:uid="{00000000-0005-0000-0000-000059040000}"/>
    <cellStyle name="Sortie 3" xfId="972" xr:uid="{00000000-0005-0000-0000-00005A040000}"/>
    <cellStyle name="Texte explicatif" xfId="663" xr:uid="{00000000-0005-0000-0000-00005B040000}"/>
    <cellStyle name="Title 2" xfId="68" xr:uid="{00000000-0005-0000-0000-00005C040000}"/>
    <cellStyle name="Title 3" xfId="664" xr:uid="{00000000-0005-0000-0000-00005D040000}"/>
    <cellStyle name="Titre" xfId="665" xr:uid="{00000000-0005-0000-0000-00005E040000}"/>
    <cellStyle name="Titre 1" xfId="666" xr:uid="{00000000-0005-0000-0000-00005F040000}"/>
    <cellStyle name="Titre 2" xfId="667" xr:uid="{00000000-0005-0000-0000-000060040000}"/>
    <cellStyle name="Titre 3" xfId="668" xr:uid="{00000000-0005-0000-0000-000061040000}"/>
    <cellStyle name="Titre 4" xfId="669" xr:uid="{00000000-0005-0000-0000-000062040000}"/>
    <cellStyle name="Total 2" xfId="69" xr:uid="{00000000-0005-0000-0000-000063040000}"/>
    <cellStyle name="Total 2 2" xfId="670" xr:uid="{00000000-0005-0000-0000-000064040000}"/>
    <cellStyle name="Total 2 2 2" xfId="974" xr:uid="{00000000-0005-0000-0000-000065040000}"/>
    <cellStyle name="Total 2 3" xfId="822" xr:uid="{00000000-0005-0000-0000-000066040000}"/>
    <cellStyle name="Total 3" xfId="671" xr:uid="{00000000-0005-0000-0000-000067040000}"/>
    <cellStyle name="Total 3 2" xfId="975" xr:uid="{00000000-0005-0000-0000-000068040000}"/>
    <cellStyle name="Unprot" xfId="672" xr:uid="{00000000-0005-0000-0000-000069040000}"/>
    <cellStyle name="Unprot$" xfId="673" xr:uid="{00000000-0005-0000-0000-00006A040000}"/>
    <cellStyle name="Unprotect" xfId="674" xr:uid="{00000000-0005-0000-0000-00006B040000}"/>
    <cellStyle name="Vérification" xfId="675" xr:uid="{00000000-0005-0000-0000-00006C040000}"/>
    <cellStyle name="Warning Text 2" xfId="70" xr:uid="{00000000-0005-0000-0000-00006D04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D7E9F2"/>
      <rgbColor rgb="003366FF"/>
      <rgbColor rgb="0033CCCC"/>
      <rgbColor rgb="0099CC00"/>
      <rgbColor rgb="009BBFDB"/>
      <rgbColor rgb="005B83A6"/>
      <rgbColor rgb="0033495F"/>
      <rgbColor rgb="00666699"/>
      <rgbColor rgb="00969696"/>
      <rgbColor rgb="00003366"/>
      <rgbColor rgb="00339966"/>
      <rgbColor rgb="00003300"/>
      <rgbColor rgb="00333300"/>
      <rgbColor rgb="001D3961"/>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72389</xdr:colOff>
      <xdr:row>0</xdr:row>
      <xdr:rowOff>64770</xdr:rowOff>
    </xdr:from>
    <xdr:to>
      <xdr:col>4</xdr:col>
      <xdr:colOff>306069</xdr:colOff>
      <xdr:row>3</xdr:row>
      <xdr:rowOff>160020</xdr:rowOff>
    </xdr:to>
    <xdr:pic>
      <xdr:nvPicPr>
        <xdr:cNvPr id="2" name="Picture 4" descr="TRSA_100_CMY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89" y="64770"/>
          <a:ext cx="180340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urveys@mackayresearchgroup.com" TargetMode="External"/><Relationship Id="rId2" Type="http://schemas.openxmlformats.org/officeDocument/2006/relationships/hyperlink" Target="mailto:surveys@mackayresearchgroup.com" TargetMode="External"/><Relationship Id="rId1" Type="http://schemas.openxmlformats.org/officeDocument/2006/relationships/hyperlink" Target="mailto:sjackson@trsa.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CZ475"/>
  <sheetViews>
    <sheetView showGridLines="0" showRowColHeaders="0" tabSelected="1" zoomScaleNormal="100" zoomScaleSheetLayoutView="100" workbookViewId="0">
      <selection activeCell="E17" sqref="E17:J17"/>
    </sheetView>
  </sheetViews>
  <sheetFormatPr defaultColWidth="8.77734375" defaultRowHeight="13.2" zeroHeight="1"/>
  <cols>
    <col min="1" max="1" width="5.6640625" style="23" customWidth="1"/>
    <col min="2" max="2" width="5.6640625" style="21" customWidth="1"/>
    <col min="3" max="6" width="5.6640625" style="19" customWidth="1"/>
    <col min="7" max="7" width="7.5546875" style="19" customWidth="1"/>
    <col min="8" max="8" width="14.77734375" style="19" customWidth="1"/>
    <col min="9" max="9" width="2.6640625" style="10" customWidth="1"/>
    <col min="10" max="10" width="12.6640625" style="10" customWidth="1"/>
    <col min="11" max="11" width="2.6640625" style="10" customWidth="1"/>
    <col min="12" max="12" width="12.6640625" style="10" customWidth="1"/>
    <col min="13" max="13" width="2.6640625" style="10" customWidth="1"/>
    <col min="14" max="14" width="5.6640625" style="10" customWidth="1"/>
    <col min="15" max="15" width="5.6640625" style="4" customWidth="1"/>
    <col min="16" max="16" width="9.109375" style="4" customWidth="1"/>
    <col min="17" max="17" width="5.6640625" style="4" customWidth="1"/>
    <col min="18" max="18" width="10.6640625" style="113" customWidth="1"/>
    <col min="19" max="33" width="9.109375" style="114" customWidth="1"/>
    <col min="34" max="99" width="9.109375" style="113" customWidth="1"/>
    <col min="100" max="101" width="8.77734375" style="113" customWidth="1"/>
    <col min="102" max="104" width="8.77734375" style="113"/>
  </cols>
  <sheetData>
    <row r="1" spans="1:104" ht="6" customHeight="1">
      <c r="A1" s="172"/>
      <c r="B1" s="169"/>
      <c r="C1" s="18"/>
      <c r="D1" s="18"/>
      <c r="E1" s="18"/>
      <c r="F1" s="18"/>
      <c r="G1" s="18"/>
      <c r="H1" s="18"/>
      <c r="I1" s="18"/>
      <c r="J1" s="18"/>
      <c r="K1" s="18"/>
      <c r="L1" s="18"/>
      <c r="M1" s="18"/>
      <c r="N1" s="18"/>
      <c r="O1" s="171"/>
      <c r="P1" s="171"/>
      <c r="Q1" s="171"/>
      <c r="R1" s="161"/>
    </row>
    <row r="2" spans="1:104" ht="21">
      <c r="A2" s="172"/>
      <c r="B2" s="169"/>
      <c r="C2" s="18"/>
      <c r="D2" s="50"/>
      <c r="E2" s="50"/>
      <c r="F2" s="50"/>
      <c r="G2" s="50"/>
      <c r="H2" s="170" t="s">
        <v>375</v>
      </c>
      <c r="I2" s="160"/>
      <c r="J2" s="155"/>
      <c r="K2" s="221" t="s">
        <v>374</v>
      </c>
      <c r="L2" s="222"/>
      <c r="M2" s="222"/>
      <c r="N2" s="222"/>
      <c r="O2" s="155"/>
      <c r="P2" s="51"/>
      <c r="Q2" s="51"/>
      <c r="R2" s="161"/>
    </row>
    <row r="3" spans="1:104" ht="15" customHeight="1">
      <c r="A3" s="173"/>
      <c r="B3" s="51"/>
      <c r="C3" s="162"/>
      <c r="D3" s="156"/>
      <c r="E3" s="156"/>
      <c r="F3" s="157"/>
      <c r="G3" s="50"/>
      <c r="H3" s="170" t="s">
        <v>376</v>
      </c>
      <c r="I3" s="50"/>
      <c r="J3" s="155"/>
      <c r="K3" s="223">
        <v>44841</v>
      </c>
      <c r="L3" s="222"/>
      <c r="M3" s="222"/>
      <c r="N3" s="222"/>
      <c r="O3" s="158"/>
      <c r="P3" s="51"/>
      <c r="Q3" s="51"/>
      <c r="R3" s="161"/>
    </row>
    <row r="4" spans="1:104" ht="17.399999999999999">
      <c r="A4" s="173"/>
      <c r="B4" s="51"/>
      <c r="C4" s="156"/>
      <c r="D4" s="159"/>
      <c r="E4" s="159"/>
      <c r="F4" s="157"/>
      <c r="G4" s="50"/>
      <c r="H4" s="174"/>
      <c r="I4" s="50"/>
      <c r="J4" s="159"/>
      <c r="K4" s="158"/>
      <c r="L4" s="158"/>
      <c r="M4" s="158"/>
      <c r="N4" s="158"/>
      <c r="O4" s="158"/>
      <c r="P4" s="51"/>
      <c r="Q4" s="51"/>
      <c r="R4" s="161"/>
    </row>
    <row r="5" spans="1:104" ht="6" customHeight="1" thickBot="1">
      <c r="A5" s="29"/>
      <c r="B5" s="4"/>
      <c r="C5" s="33"/>
      <c r="D5" s="7"/>
      <c r="E5" s="7"/>
      <c r="F5" s="15"/>
      <c r="G5" s="10"/>
      <c r="H5" s="10"/>
      <c r="J5" s="7"/>
      <c r="K5" s="8"/>
      <c r="L5" s="8"/>
      <c r="R5" s="6"/>
    </row>
    <row r="6" spans="1:104" ht="48" customHeight="1" thickTop="1">
      <c r="A6" s="29"/>
      <c r="B6" s="205" t="s">
        <v>377</v>
      </c>
      <c r="C6" s="206"/>
      <c r="D6" s="206"/>
      <c r="E6" s="206"/>
      <c r="F6" s="206"/>
      <c r="G6" s="206"/>
      <c r="H6" s="206"/>
      <c r="I6" s="206"/>
      <c r="J6" s="206"/>
      <c r="K6" s="206"/>
      <c r="L6" s="206"/>
      <c r="M6" s="206"/>
      <c r="N6" s="206"/>
      <c r="O6" s="207"/>
      <c r="R6" s="6"/>
    </row>
    <row r="7" spans="1:104" ht="30" customHeight="1">
      <c r="A7" s="29"/>
      <c r="B7" s="215" t="s">
        <v>378</v>
      </c>
      <c r="C7" s="216"/>
      <c r="D7" s="216"/>
      <c r="E7" s="216"/>
      <c r="F7" s="216"/>
      <c r="G7" s="216"/>
      <c r="H7" s="216"/>
      <c r="I7" s="216"/>
      <c r="J7" s="216"/>
      <c r="K7" s="216"/>
      <c r="L7" s="216"/>
      <c r="M7" s="216"/>
      <c r="N7" s="216"/>
      <c r="O7" s="217"/>
      <c r="R7" s="6"/>
    </row>
    <row r="8" spans="1:104" ht="38.1" customHeight="1" thickBot="1">
      <c r="A8" s="29"/>
      <c r="B8" s="218" t="s">
        <v>379</v>
      </c>
      <c r="C8" s="219"/>
      <c r="D8" s="219"/>
      <c r="E8" s="219"/>
      <c r="F8" s="219"/>
      <c r="G8" s="219"/>
      <c r="H8" s="219"/>
      <c r="I8" s="219"/>
      <c r="J8" s="219"/>
      <c r="K8" s="219"/>
      <c r="L8" s="219"/>
      <c r="M8" s="219"/>
      <c r="N8" s="219"/>
      <c r="O8" s="220"/>
      <c r="R8" s="6"/>
    </row>
    <row r="9" spans="1:104" ht="6" customHeight="1" thickTop="1">
      <c r="A9" s="29"/>
      <c r="B9" s="4"/>
      <c r="C9" s="33"/>
      <c r="D9" s="7"/>
      <c r="E9" s="7"/>
      <c r="F9" s="15"/>
      <c r="G9" s="10"/>
      <c r="H9" s="10"/>
      <c r="J9" s="7"/>
      <c r="K9" s="8"/>
      <c r="L9" s="8"/>
      <c r="R9" s="6"/>
    </row>
    <row r="10" spans="1:104" ht="12.75" customHeight="1">
      <c r="A10" s="29"/>
      <c r="B10" s="109" t="s">
        <v>298</v>
      </c>
      <c r="C10" s="33"/>
      <c r="D10" s="7"/>
      <c r="E10" s="7"/>
      <c r="F10" s="15"/>
      <c r="G10" s="10"/>
      <c r="H10" s="214" t="s">
        <v>300</v>
      </c>
      <c r="I10" s="214"/>
      <c r="J10" s="214"/>
      <c r="K10" s="214"/>
      <c r="L10" s="8"/>
      <c r="R10" s="6"/>
    </row>
    <row r="11" spans="1:104" ht="12.75" customHeight="1">
      <c r="A11" s="29"/>
      <c r="B11" s="110" t="s">
        <v>299</v>
      </c>
      <c r="C11" s="33"/>
      <c r="D11" s="7"/>
      <c r="E11" s="7"/>
      <c r="F11" s="15"/>
      <c r="G11" s="10"/>
      <c r="H11" s="10"/>
      <c r="J11" s="7"/>
      <c r="K11" s="8"/>
      <c r="L11" s="8"/>
      <c r="R11" s="6"/>
    </row>
    <row r="12" spans="1:104" ht="6" customHeight="1" thickBot="1">
      <c r="A12" s="29"/>
      <c r="B12" s="108"/>
      <c r="C12" s="33"/>
      <c r="D12" s="7"/>
      <c r="E12" s="7"/>
      <c r="F12" s="15"/>
      <c r="G12" s="10"/>
      <c r="H12" s="10"/>
      <c r="J12" s="7"/>
      <c r="K12" s="8"/>
      <c r="L12" s="8"/>
      <c r="R12" s="6"/>
    </row>
    <row r="13" spans="1:104" ht="12.75" customHeight="1">
      <c r="A13" s="29"/>
      <c r="B13" s="129" t="s">
        <v>301</v>
      </c>
      <c r="C13" s="107"/>
      <c r="D13" s="106"/>
      <c r="E13" s="106"/>
      <c r="F13" s="105"/>
      <c r="G13" s="104"/>
      <c r="H13" s="104"/>
      <c r="I13" s="104"/>
      <c r="J13" s="106"/>
      <c r="K13" s="111"/>
      <c r="L13" s="111"/>
      <c r="M13" s="111"/>
      <c r="N13" s="111"/>
      <c r="O13" s="127"/>
      <c r="R13" s="6"/>
    </row>
    <row r="14" spans="1:104" ht="12.75" customHeight="1" thickBot="1">
      <c r="A14" s="29"/>
      <c r="B14" s="130" t="s">
        <v>380</v>
      </c>
      <c r="C14" s="103"/>
      <c r="D14" s="102"/>
      <c r="E14" s="102"/>
      <c r="F14" s="101"/>
      <c r="G14" s="100"/>
      <c r="H14" s="100"/>
      <c r="I14" s="100"/>
      <c r="J14" s="102"/>
      <c r="K14" s="112"/>
      <c r="L14" s="112"/>
      <c r="M14" s="112"/>
      <c r="N14" s="112"/>
      <c r="O14" s="128"/>
      <c r="R14" s="6"/>
    </row>
    <row r="15" spans="1:104" ht="6" customHeight="1">
      <c r="A15" s="29"/>
      <c r="B15" s="4"/>
      <c r="C15" s="33"/>
      <c r="D15" s="7"/>
      <c r="E15" s="7"/>
      <c r="F15" s="15"/>
      <c r="G15" s="10"/>
      <c r="H15" s="10"/>
      <c r="J15" s="7"/>
      <c r="K15" s="8"/>
      <c r="L15" s="8"/>
      <c r="R15" s="6"/>
    </row>
    <row r="16" spans="1:104" s="1" customFormat="1" ht="12.75" customHeight="1">
      <c r="A16" s="22"/>
      <c r="B16" s="34" t="s">
        <v>6</v>
      </c>
      <c r="C16" s="2"/>
      <c r="D16" s="3"/>
      <c r="E16" s="3"/>
      <c r="F16" s="2"/>
      <c r="G16" s="2"/>
      <c r="H16" s="2"/>
      <c r="I16" s="5"/>
      <c r="J16" s="151"/>
      <c r="K16" s="8"/>
      <c r="L16" s="9"/>
      <c r="M16" s="9"/>
      <c r="N16" s="10"/>
      <c r="O16" s="4"/>
      <c r="P16" s="4"/>
      <c r="Q16" s="4"/>
      <c r="R16" s="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row>
    <row r="17" spans="1:104" ht="12.75" customHeight="1">
      <c r="B17" s="19" t="s">
        <v>13</v>
      </c>
      <c r="E17" s="208"/>
      <c r="F17" s="209"/>
      <c r="G17" s="209"/>
      <c r="H17" s="209"/>
      <c r="I17" s="209"/>
      <c r="J17" s="210"/>
      <c r="K17" s="8"/>
      <c r="L17" s="8"/>
      <c r="M17" s="16"/>
      <c r="N17" s="16"/>
      <c r="O17" s="17"/>
      <c r="P17" s="17"/>
      <c r="Q17" s="17"/>
      <c r="R17" s="6"/>
      <c r="S17" s="115"/>
      <c r="T17" s="115"/>
      <c r="U17" s="115"/>
      <c r="V17" s="115"/>
      <c r="W17" s="115"/>
      <c r="X17" s="115"/>
      <c r="Y17" s="115"/>
      <c r="Z17" s="115"/>
      <c r="AA17" s="115"/>
      <c r="AB17" s="115"/>
      <c r="AC17" s="115"/>
      <c r="AD17" s="115"/>
      <c r="AE17" s="115"/>
      <c r="AF17" s="115"/>
      <c r="AG17" s="115"/>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row>
    <row r="18" spans="1:104" ht="12.75" customHeight="1">
      <c r="B18" s="19" t="s">
        <v>12</v>
      </c>
      <c r="E18" s="208"/>
      <c r="F18" s="209"/>
      <c r="G18" s="209"/>
      <c r="H18" s="209"/>
      <c r="I18" s="209"/>
      <c r="J18" s="210"/>
      <c r="K18" s="8"/>
      <c r="L18" s="8"/>
      <c r="M18" s="16"/>
      <c r="N18" s="16"/>
      <c r="O18" s="17"/>
      <c r="P18" s="17"/>
      <c r="Q18" s="17"/>
      <c r="R18" s="6"/>
      <c r="S18" s="115"/>
      <c r="T18" s="115"/>
      <c r="U18" s="115"/>
      <c r="V18" s="115"/>
      <c r="W18" s="115"/>
      <c r="X18" s="115"/>
      <c r="Y18" s="115"/>
      <c r="Z18" s="115"/>
      <c r="AA18" s="115"/>
      <c r="AB18" s="115"/>
      <c r="AC18" s="115"/>
      <c r="AD18" s="115"/>
      <c r="AE18" s="115"/>
      <c r="AF18" s="115"/>
      <c r="AG18" s="115"/>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row>
    <row r="19" spans="1:104" ht="12.75" customHeight="1">
      <c r="B19" s="19" t="s">
        <v>0</v>
      </c>
      <c r="E19" s="208"/>
      <c r="F19" s="209"/>
      <c r="G19" s="209"/>
      <c r="H19" s="209"/>
      <c r="I19" s="209"/>
      <c r="J19" s="210"/>
      <c r="K19" s="8"/>
      <c r="L19" s="8"/>
      <c r="M19" s="16"/>
      <c r="N19" s="16"/>
      <c r="O19" s="17"/>
      <c r="P19" s="17"/>
      <c r="Q19" s="17"/>
      <c r="R19" s="6"/>
      <c r="S19" s="115"/>
      <c r="T19" s="115"/>
      <c r="U19" s="115"/>
      <c r="V19" s="115"/>
      <c r="W19" s="115"/>
      <c r="X19" s="115"/>
      <c r="Y19" s="115"/>
      <c r="Z19" s="115"/>
      <c r="AA19" s="115"/>
      <c r="AB19" s="115"/>
      <c r="AC19" s="115"/>
      <c r="AD19" s="115"/>
      <c r="AE19" s="115"/>
      <c r="AF19" s="115"/>
      <c r="AG19" s="115"/>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row>
    <row r="20" spans="1:104" ht="12.75" customHeight="1">
      <c r="B20" s="19" t="s">
        <v>5</v>
      </c>
      <c r="E20" s="208"/>
      <c r="F20" s="209"/>
      <c r="G20" s="209"/>
      <c r="H20" s="209"/>
      <c r="I20" s="209"/>
      <c r="J20" s="210"/>
      <c r="K20" s="8"/>
      <c r="L20" s="8"/>
      <c r="M20" s="16"/>
      <c r="N20" s="16"/>
      <c r="O20" s="17"/>
      <c r="P20" s="17"/>
      <c r="Q20" s="17"/>
      <c r="R20" s="6"/>
      <c r="S20" s="115"/>
      <c r="T20" s="115"/>
      <c r="U20" s="115"/>
      <c r="V20" s="115"/>
      <c r="W20" s="115"/>
      <c r="X20" s="115"/>
      <c r="Y20" s="115"/>
      <c r="Z20" s="115"/>
      <c r="AA20" s="115"/>
      <c r="AB20" s="115"/>
      <c r="AC20" s="115"/>
      <c r="AD20" s="115"/>
      <c r="AE20" s="115"/>
      <c r="AF20" s="115"/>
      <c r="AG20" s="115"/>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row>
    <row r="21" spans="1:104" ht="12.75" customHeight="1">
      <c r="B21" s="19" t="s">
        <v>14</v>
      </c>
      <c r="E21" s="208"/>
      <c r="F21" s="209"/>
      <c r="G21" s="209"/>
      <c r="H21" s="209"/>
      <c r="I21" s="209"/>
      <c r="J21" s="210"/>
      <c r="K21" s="8"/>
      <c r="L21" s="8"/>
      <c r="M21" s="16"/>
      <c r="N21" s="16"/>
      <c r="O21" s="17"/>
      <c r="P21" s="17"/>
      <c r="Q21" s="17"/>
      <c r="R21" s="6"/>
      <c r="S21" s="115"/>
      <c r="T21" s="115"/>
      <c r="U21" s="115"/>
      <c r="V21" s="115"/>
      <c r="W21" s="115"/>
      <c r="X21" s="115"/>
      <c r="Y21" s="115"/>
      <c r="Z21" s="115"/>
      <c r="AA21" s="115"/>
      <c r="AB21" s="115"/>
      <c r="AC21" s="115"/>
      <c r="AD21" s="115"/>
      <c r="AE21" s="115"/>
      <c r="AF21" s="115"/>
      <c r="AG21" s="115"/>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row>
    <row r="22" spans="1:104" ht="12.75" customHeight="1">
      <c r="B22" s="19" t="s">
        <v>15</v>
      </c>
      <c r="E22" s="208"/>
      <c r="F22" s="209"/>
      <c r="G22" s="209"/>
      <c r="H22" s="209"/>
      <c r="I22" s="209"/>
      <c r="J22" s="210"/>
      <c r="K22" s="8"/>
      <c r="L22" s="8"/>
      <c r="M22" s="16"/>
      <c r="N22" s="16"/>
      <c r="O22" s="17"/>
      <c r="P22" s="17"/>
      <c r="Q22" s="17"/>
      <c r="R22" s="6"/>
      <c r="S22" s="115"/>
      <c r="T22" s="115"/>
      <c r="U22" s="115"/>
      <c r="V22" s="115"/>
      <c r="W22" s="115"/>
      <c r="X22" s="115"/>
      <c r="Y22" s="115"/>
      <c r="Z22" s="115"/>
      <c r="AA22" s="115"/>
      <c r="AB22" s="115"/>
      <c r="AC22" s="115"/>
      <c r="AD22" s="115"/>
      <c r="AE22" s="115"/>
      <c r="AF22" s="115"/>
      <c r="AG22" s="115"/>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row>
    <row r="23" spans="1:104" ht="12.75" customHeight="1">
      <c r="B23" s="19" t="s">
        <v>16</v>
      </c>
      <c r="E23" s="208"/>
      <c r="F23" s="209"/>
      <c r="G23" s="209"/>
      <c r="H23" s="209"/>
      <c r="I23" s="209"/>
      <c r="J23" s="210"/>
      <c r="K23" s="8"/>
      <c r="L23" s="8"/>
      <c r="M23" s="16"/>
      <c r="N23" s="16"/>
      <c r="O23" s="17"/>
      <c r="P23" s="17"/>
      <c r="Q23" s="17"/>
      <c r="R23" s="6"/>
      <c r="S23" s="115"/>
      <c r="T23" s="115"/>
      <c r="U23" s="115"/>
      <c r="V23" s="115"/>
      <c r="W23" s="115"/>
      <c r="X23" s="115"/>
      <c r="Y23" s="115"/>
      <c r="Z23" s="115"/>
      <c r="AA23" s="115"/>
      <c r="AB23" s="115"/>
      <c r="AC23" s="115"/>
      <c r="AD23" s="115"/>
      <c r="AE23" s="115"/>
      <c r="AF23" s="115"/>
      <c r="AG23" s="115"/>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row>
    <row r="24" spans="1:104" ht="12.75" customHeight="1">
      <c r="B24" s="19" t="s">
        <v>17</v>
      </c>
      <c r="E24" s="211"/>
      <c r="F24" s="212"/>
      <c r="G24" s="212"/>
      <c r="H24" s="212"/>
      <c r="I24" s="212"/>
      <c r="J24" s="213"/>
      <c r="K24" s="8"/>
      <c r="L24" s="8"/>
      <c r="M24" s="16"/>
      <c r="N24" s="16"/>
      <c r="O24" s="17"/>
      <c r="P24" s="17"/>
      <c r="Q24" s="17"/>
      <c r="R24" s="6"/>
      <c r="S24" s="115"/>
      <c r="T24" s="115"/>
      <c r="U24" s="115"/>
      <c r="V24" s="115"/>
      <c r="W24" s="115"/>
      <c r="X24" s="115"/>
      <c r="Y24" s="115"/>
      <c r="Z24" s="115"/>
      <c r="AA24" s="115"/>
      <c r="AB24" s="115"/>
      <c r="AC24" s="115"/>
      <c r="AD24" s="115"/>
      <c r="AE24" s="115"/>
      <c r="AF24" s="115"/>
      <c r="AG24" s="115"/>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row>
    <row r="25" spans="1:104" ht="6" customHeight="1">
      <c r="B25" s="19"/>
      <c r="C25" s="9"/>
      <c r="F25" s="8"/>
      <c r="G25" s="3"/>
      <c r="H25" s="3"/>
      <c r="I25" s="8"/>
      <c r="J25" s="8"/>
      <c r="K25" s="8"/>
      <c r="L25" s="8"/>
      <c r="M25" s="16"/>
      <c r="N25" s="16"/>
      <c r="O25" s="17"/>
      <c r="P25" s="17"/>
      <c r="Q25" s="17"/>
      <c r="R25" s="6"/>
      <c r="S25" s="115"/>
      <c r="T25" s="115"/>
      <c r="U25" s="115"/>
      <c r="V25" s="115"/>
      <c r="W25" s="115"/>
      <c r="X25" s="115"/>
      <c r="Y25" s="115"/>
      <c r="Z25" s="115"/>
      <c r="AA25" s="115"/>
      <c r="AB25" s="115"/>
      <c r="AC25" s="115"/>
      <c r="AD25" s="115"/>
      <c r="AE25" s="115"/>
      <c r="AF25" s="115"/>
      <c r="AG25" s="115"/>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row>
    <row r="26" spans="1:104" s="4" customFormat="1" ht="12.75" customHeight="1">
      <c r="A26" s="24"/>
      <c r="B26" s="25" t="s">
        <v>381</v>
      </c>
      <c r="C26" s="1"/>
      <c r="D26" s="1"/>
      <c r="E26" s="1"/>
      <c r="F26" s="5"/>
      <c r="G26" s="5"/>
      <c r="H26" s="5"/>
      <c r="I26" s="5"/>
      <c r="J26" s="8"/>
      <c r="K26" s="8"/>
      <c r="L26" s="9"/>
      <c r="M26" s="9"/>
      <c r="N26" s="10"/>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row>
    <row r="27" spans="1:104" ht="6" customHeight="1">
      <c r="B27" s="19"/>
      <c r="R27" s="6"/>
    </row>
    <row r="28" spans="1:104" s="13" customFormat="1" ht="18.600000000000001">
      <c r="A28" s="55"/>
      <c r="B28" s="160" t="s">
        <v>18</v>
      </c>
      <c r="C28" s="56"/>
      <c r="D28" s="56"/>
      <c r="E28" s="56"/>
      <c r="F28" s="56"/>
      <c r="G28" s="56"/>
      <c r="H28" s="56"/>
      <c r="I28" s="56"/>
      <c r="J28" s="56"/>
      <c r="K28" s="56"/>
      <c r="L28" s="56"/>
      <c r="M28" s="56"/>
      <c r="N28" s="56"/>
      <c r="O28" s="56"/>
      <c r="P28" s="56"/>
      <c r="Q28" s="56"/>
      <c r="S28" s="118"/>
      <c r="T28" s="118"/>
      <c r="U28" s="118"/>
      <c r="V28" s="118"/>
      <c r="W28" s="118"/>
      <c r="X28" s="118"/>
      <c r="Y28" s="118"/>
      <c r="Z28" s="118"/>
      <c r="AA28" s="118"/>
      <c r="AB28" s="118"/>
      <c r="AC28" s="118"/>
      <c r="AD28" s="118"/>
      <c r="AE28" s="118"/>
      <c r="AF28" s="118"/>
      <c r="AG28" s="118"/>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row>
    <row r="29" spans="1:104" s="13" customFormat="1" ht="6" customHeight="1">
      <c r="A29" s="26"/>
      <c r="B29" s="27"/>
      <c r="C29" s="14"/>
      <c r="D29" s="14"/>
      <c r="E29" s="14"/>
      <c r="F29" s="14"/>
      <c r="G29" s="14"/>
      <c r="H29" s="14"/>
      <c r="I29" s="14"/>
      <c r="J29" s="14"/>
      <c r="K29" s="14"/>
      <c r="L29" s="14"/>
      <c r="M29" s="14"/>
      <c r="N29" s="14"/>
      <c r="O29" s="14"/>
      <c r="P29" s="14"/>
      <c r="Q29" s="14"/>
      <c r="S29" s="118"/>
      <c r="T29" s="118"/>
      <c r="U29" s="118"/>
      <c r="V29" s="118"/>
      <c r="W29" s="118"/>
      <c r="X29" s="118"/>
      <c r="Y29" s="118"/>
      <c r="Z29" s="118"/>
      <c r="AA29" s="118"/>
      <c r="AB29" s="118"/>
      <c r="AC29" s="118"/>
      <c r="AD29" s="118"/>
      <c r="AE29" s="118"/>
      <c r="AF29" s="118"/>
      <c r="AG29" s="118"/>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row>
    <row r="30" spans="1:104" s="13" customFormat="1" ht="14.4">
      <c r="A30" s="168" t="s">
        <v>370</v>
      </c>
      <c r="C30" s="14"/>
      <c r="D30" s="14"/>
      <c r="E30" s="14"/>
      <c r="F30" s="14"/>
      <c r="G30" s="14"/>
      <c r="H30" s="14"/>
      <c r="I30" s="14"/>
      <c r="J30" s="14"/>
      <c r="K30" s="14"/>
      <c r="L30" s="14"/>
      <c r="M30" s="14"/>
      <c r="N30" s="14"/>
      <c r="O30" s="14"/>
      <c r="P30" s="14"/>
      <c r="Q30" s="14"/>
      <c r="S30" s="118"/>
      <c r="T30" s="118"/>
      <c r="U30" s="118"/>
      <c r="V30" s="118"/>
      <c r="W30" s="118"/>
      <c r="X30" s="118"/>
      <c r="Y30" s="118"/>
      <c r="Z30" s="118"/>
      <c r="AA30" s="118"/>
      <c r="AB30" s="118"/>
      <c r="AC30" s="118"/>
      <c r="AD30" s="118"/>
      <c r="AE30" s="118"/>
      <c r="AF30" s="118"/>
      <c r="AG30" s="118"/>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row>
    <row r="31" spans="1:104" s="13" customFormat="1" ht="6" customHeight="1">
      <c r="A31" s="26"/>
      <c r="B31" s="27"/>
      <c r="C31" s="14"/>
      <c r="D31" s="14"/>
      <c r="E31" s="14"/>
      <c r="F31" s="14"/>
      <c r="G31" s="14"/>
      <c r="H31" s="14"/>
      <c r="I31" s="14"/>
      <c r="J31" s="14"/>
      <c r="K31" s="14"/>
      <c r="L31" s="14"/>
      <c r="M31" s="14"/>
      <c r="N31" s="14"/>
      <c r="O31" s="14"/>
      <c r="P31" s="14"/>
      <c r="Q31" s="14"/>
      <c r="S31" s="118"/>
      <c r="T31" s="118"/>
      <c r="U31" s="118"/>
      <c r="V31" s="118"/>
      <c r="W31" s="118"/>
      <c r="X31" s="118"/>
      <c r="Y31" s="118"/>
      <c r="Z31" s="118"/>
      <c r="AA31" s="118"/>
      <c r="AB31" s="118"/>
      <c r="AC31" s="118"/>
      <c r="AD31" s="118"/>
      <c r="AE31" s="118"/>
      <c r="AF31" s="118"/>
      <c r="AG31" s="118"/>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row>
    <row r="32" spans="1:104" s="13" customFormat="1">
      <c r="A32" s="26" t="s">
        <v>1</v>
      </c>
      <c r="B32" s="27" t="s">
        <v>24</v>
      </c>
      <c r="C32" s="14"/>
      <c r="D32" s="14"/>
      <c r="E32" s="14"/>
      <c r="F32" s="14"/>
      <c r="G32" s="14"/>
      <c r="H32" s="82"/>
      <c r="J32" s="14" t="s">
        <v>306</v>
      </c>
      <c r="K32" s="14"/>
      <c r="L32" s="14"/>
      <c r="M32" s="14"/>
      <c r="N32" s="14"/>
      <c r="P32" s="14"/>
      <c r="Q32" s="14"/>
      <c r="S32" s="118"/>
      <c r="T32" s="118"/>
      <c r="U32" s="118"/>
      <c r="V32" s="118"/>
      <c r="W32" s="118"/>
      <c r="X32" s="118"/>
      <c r="Y32" s="118"/>
      <c r="Z32" s="118"/>
      <c r="AA32" s="118"/>
      <c r="AB32" s="118"/>
      <c r="AC32" s="118"/>
      <c r="AD32" s="118"/>
      <c r="AE32" s="118"/>
      <c r="AF32" s="118"/>
      <c r="AG32" s="118"/>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row>
    <row r="33" spans="1:104" s="13" customFormat="1" ht="6" customHeight="1">
      <c r="A33" s="26"/>
      <c r="B33" s="14"/>
      <c r="C33" s="14"/>
      <c r="D33" s="14"/>
      <c r="E33" s="14"/>
      <c r="F33" s="14"/>
      <c r="G33" s="14"/>
      <c r="H33" s="79"/>
      <c r="J33" s="14"/>
      <c r="K33" s="14"/>
      <c r="L33" s="14"/>
      <c r="M33" s="14"/>
      <c r="N33" s="14"/>
      <c r="O33" s="14"/>
      <c r="P33" s="14"/>
      <c r="Q33" s="14"/>
      <c r="S33" s="118"/>
      <c r="T33" s="118"/>
      <c r="U33" s="118"/>
      <c r="V33" s="118"/>
      <c r="W33" s="118"/>
      <c r="X33" s="118"/>
      <c r="Y33" s="118"/>
      <c r="Z33" s="118"/>
      <c r="AA33" s="118"/>
      <c r="AB33" s="118"/>
      <c r="AC33" s="118"/>
      <c r="AD33" s="118"/>
      <c r="AE33" s="118"/>
      <c r="AF33" s="118"/>
      <c r="AG33" s="118"/>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17"/>
      <c r="BT33" s="117"/>
      <c r="BU33" s="117"/>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7"/>
      <c r="CV33" s="117"/>
      <c r="CW33" s="117"/>
      <c r="CX33" s="117"/>
      <c r="CY33" s="117"/>
      <c r="CZ33" s="117"/>
    </row>
    <row r="34" spans="1:104" s="13" customFormat="1">
      <c r="A34" s="26" t="s">
        <v>2</v>
      </c>
      <c r="B34" s="27" t="s">
        <v>333</v>
      </c>
      <c r="C34" s="14"/>
      <c r="D34" s="14"/>
      <c r="E34" s="14"/>
      <c r="F34" s="14"/>
      <c r="G34" s="14"/>
      <c r="H34" s="183"/>
      <c r="J34" s="14" t="s">
        <v>334</v>
      </c>
      <c r="K34" s="14"/>
      <c r="L34" s="14"/>
      <c r="M34" s="14"/>
      <c r="N34" s="14"/>
      <c r="O34" s="14"/>
      <c r="P34" s="14"/>
      <c r="Q34" s="14"/>
      <c r="S34" s="118"/>
      <c r="T34" s="118"/>
      <c r="U34" s="118"/>
      <c r="V34" s="118"/>
      <c r="W34" s="118"/>
      <c r="X34" s="118"/>
      <c r="Y34" s="118"/>
      <c r="Z34" s="118"/>
      <c r="AA34" s="118"/>
      <c r="AB34" s="118"/>
      <c r="AC34" s="118"/>
      <c r="AD34" s="118"/>
      <c r="AE34" s="118"/>
      <c r="AF34" s="118"/>
      <c r="AG34" s="118"/>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row>
    <row r="35" spans="1:104" s="13" customFormat="1" ht="6" customHeight="1">
      <c r="A35" s="26"/>
      <c r="B35" s="14"/>
      <c r="C35" s="14"/>
      <c r="D35" s="14"/>
      <c r="E35" s="14"/>
      <c r="F35" s="14"/>
      <c r="G35" s="14"/>
      <c r="H35" s="79"/>
      <c r="J35" s="14"/>
      <c r="K35" s="14"/>
      <c r="L35" s="14"/>
      <c r="M35" s="14"/>
      <c r="N35" s="14"/>
      <c r="O35" s="14"/>
      <c r="P35" s="14"/>
      <c r="Q35" s="14"/>
      <c r="S35" s="118"/>
      <c r="T35" s="118"/>
      <c r="U35" s="118"/>
      <c r="V35" s="118"/>
      <c r="W35" s="118"/>
      <c r="X35" s="118"/>
      <c r="Y35" s="118"/>
      <c r="Z35" s="118"/>
      <c r="AA35" s="118"/>
      <c r="AB35" s="118"/>
      <c r="AC35" s="118"/>
      <c r="AD35" s="118"/>
      <c r="AE35" s="118"/>
      <c r="AF35" s="118"/>
      <c r="AG35" s="118"/>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row>
    <row r="36" spans="1:104" s="13" customFormat="1">
      <c r="A36" s="26" t="s">
        <v>3</v>
      </c>
      <c r="B36" s="57" t="s">
        <v>308</v>
      </c>
      <c r="C36" s="14"/>
      <c r="D36" s="14"/>
      <c r="E36" s="14"/>
      <c r="F36" s="14"/>
      <c r="G36" s="14"/>
      <c r="H36" s="132"/>
      <c r="J36" s="14" t="s">
        <v>390</v>
      </c>
      <c r="K36" s="14"/>
      <c r="L36" s="14"/>
      <c r="M36" s="14"/>
      <c r="N36" s="14"/>
      <c r="O36" s="14"/>
      <c r="P36" s="14"/>
      <c r="Q36" s="14"/>
      <c r="S36" s="118"/>
      <c r="T36" s="118"/>
      <c r="U36" s="118"/>
      <c r="V36" s="118"/>
      <c r="W36" s="118"/>
      <c r="X36" s="118"/>
      <c r="Y36" s="118"/>
      <c r="Z36" s="118"/>
      <c r="AA36" s="118"/>
      <c r="AB36" s="118"/>
      <c r="AC36" s="118"/>
      <c r="AD36" s="118"/>
      <c r="AE36" s="118"/>
      <c r="AF36" s="118"/>
      <c r="AG36" s="118"/>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row>
    <row r="37" spans="1:104" s="13" customFormat="1">
      <c r="A37" s="26"/>
      <c r="B37" s="57">
        <v>1</v>
      </c>
      <c r="C37" s="182" t="s">
        <v>383</v>
      </c>
      <c r="D37" s="14"/>
      <c r="E37" s="14"/>
      <c r="F37" s="14"/>
      <c r="G37" s="14"/>
      <c r="H37" s="135"/>
      <c r="J37" s="14"/>
      <c r="K37" s="14"/>
      <c r="L37" s="14"/>
      <c r="M37" s="14"/>
      <c r="N37" s="14"/>
      <c r="O37" s="14"/>
      <c r="P37" s="14"/>
      <c r="Q37" s="14"/>
      <c r="S37" s="118"/>
      <c r="T37" s="118"/>
      <c r="U37" s="118"/>
      <c r="V37" s="118"/>
      <c r="W37" s="118"/>
      <c r="X37" s="118"/>
      <c r="Y37" s="118"/>
      <c r="Z37" s="118"/>
      <c r="AA37" s="118"/>
      <c r="AB37" s="118"/>
      <c r="AC37" s="118"/>
      <c r="AD37" s="118"/>
      <c r="AE37" s="118"/>
      <c r="AF37" s="118"/>
      <c r="AG37" s="118"/>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row>
    <row r="38" spans="1:104" s="13" customFormat="1">
      <c r="A38" s="26"/>
      <c r="B38" s="57">
        <v>2</v>
      </c>
      <c r="C38" s="182" t="s">
        <v>384</v>
      </c>
      <c r="D38" s="14"/>
      <c r="E38" s="14"/>
      <c r="F38" s="14"/>
      <c r="G38" s="14"/>
      <c r="H38" s="135"/>
      <c r="J38" s="14"/>
      <c r="K38" s="14"/>
      <c r="L38" s="14"/>
      <c r="M38" s="14"/>
      <c r="N38" s="14"/>
      <c r="O38" s="14"/>
      <c r="P38" s="14"/>
      <c r="Q38" s="14"/>
      <c r="S38" s="118"/>
      <c r="T38" s="118"/>
      <c r="U38" s="118"/>
      <c r="V38" s="118"/>
      <c r="W38" s="118"/>
      <c r="X38" s="118"/>
      <c r="Y38" s="118"/>
      <c r="Z38" s="118"/>
      <c r="AA38" s="118"/>
      <c r="AB38" s="118"/>
      <c r="AC38" s="118"/>
      <c r="AD38" s="118"/>
      <c r="AE38" s="118"/>
      <c r="AF38" s="118"/>
      <c r="AG38" s="118"/>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row>
    <row r="39" spans="1:104" s="13" customFormat="1">
      <c r="A39" s="26"/>
      <c r="B39" s="57">
        <v>3</v>
      </c>
      <c r="C39" s="175" t="s">
        <v>385</v>
      </c>
      <c r="D39" s="14"/>
      <c r="E39" s="14"/>
      <c r="F39" s="14"/>
      <c r="G39" s="14"/>
      <c r="H39" s="135"/>
      <c r="J39" s="14"/>
      <c r="K39" s="14"/>
      <c r="L39" s="14"/>
      <c r="M39" s="14"/>
      <c r="N39" s="14"/>
      <c r="O39" s="14"/>
      <c r="P39" s="14"/>
      <c r="Q39" s="14"/>
      <c r="S39" s="118"/>
      <c r="T39" s="118"/>
      <c r="U39" s="118"/>
      <c r="V39" s="118"/>
      <c r="W39" s="118"/>
      <c r="X39" s="118"/>
      <c r="Y39" s="118"/>
      <c r="Z39" s="118"/>
      <c r="AA39" s="118"/>
      <c r="AB39" s="118"/>
      <c r="AC39" s="118"/>
      <c r="AD39" s="118"/>
      <c r="AE39" s="118"/>
      <c r="AF39" s="118"/>
      <c r="AG39" s="118"/>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row>
    <row r="40" spans="1:104" s="13" customFormat="1">
      <c r="A40" s="26"/>
      <c r="B40" s="57">
        <v>4</v>
      </c>
      <c r="C40" s="181" t="s">
        <v>386</v>
      </c>
      <c r="D40" s="14"/>
      <c r="E40" s="14"/>
      <c r="F40" s="14"/>
      <c r="G40" s="14"/>
      <c r="H40" s="135"/>
      <c r="J40" s="14"/>
      <c r="K40" s="14"/>
      <c r="L40" s="14"/>
      <c r="M40" s="14"/>
      <c r="N40" s="14"/>
      <c r="O40" s="14"/>
      <c r="P40" s="14"/>
      <c r="Q40" s="14"/>
      <c r="S40" s="118"/>
      <c r="T40" s="118"/>
      <c r="U40" s="118"/>
      <c r="V40" s="118"/>
      <c r="W40" s="118"/>
      <c r="X40" s="118"/>
      <c r="Y40" s="118"/>
      <c r="Z40" s="118"/>
      <c r="AA40" s="118"/>
      <c r="AB40" s="118"/>
      <c r="AC40" s="118"/>
      <c r="AD40" s="118"/>
      <c r="AE40" s="118"/>
      <c r="AF40" s="118"/>
      <c r="AG40" s="118"/>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row>
    <row r="41" spans="1:104" s="13" customFormat="1">
      <c r="A41" s="26"/>
      <c r="B41" s="57">
        <v>5</v>
      </c>
      <c r="C41" s="180" t="s">
        <v>387</v>
      </c>
      <c r="D41" s="14"/>
      <c r="E41" s="14"/>
      <c r="F41" s="14"/>
      <c r="G41" s="14"/>
      <c r="H41" s="135"/>
      <c r="J41" s="14"/>
      <c r="K41" s="14"/>
      <c r="L41" s="14"/>
      <c r="M41" s="14"/>
      <c r="N41" s="14"/>
      <c r="O41" s="14"/>
      <c r="P41" s="14"/>
      <c r="Q41" s="14"/>
      <c r="S41" s="118"/>
      <c r="T41" s="118"/>
      <c r="U41" s="118"/>
      <c r="V41" s="118"/>
      <c r="W41" s="118"/>
      <c r="X41" s="118"/>
      <c r="Y41" s="118"/>
      <c r="Z41" s="118"/>
      <c r="AA41" s="118"/>
      <c r="AB41" s="118"/>
      <c r="AC41" s="118"/>
      <c r="AD41" s="118"/>
      <c r="AE41" s="118"/>
      <c r="AF41" s="118"/>
      <c r="AG41" s="118"/>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row>
    <row r="42" spans="1:104" s="13" customFormat="1">
      <c r="A42" s="26"/>
      <c r="B42" s="57">
        <v>6</v>
      </c>
      <c r="C42" s="179" t="s">
        <v>388</v>
      </c>
      <c r="D42" s="14"/>
      <c r="E42" s="14"/>
      <c r="F42" s="14"/>
      <c r="G42" s="14"/>
      <c r="H42" s="135"/>
      <c r="J42" s="14"/>
      <c r="K42" s="14"/>
      <c r="L42" s="14"/>
      <c r="M42" s="14"/>
      <c r="N42" s="14"/>
      <c r="O42" s="14"/>
      <c r="P42" s="14"/>
      <c r="Q42" s="14"/>
      <c r="S42" s="118"/>
      <c r="T42" s="118"/>
      <c r="U42" s="118"/>
      <c r="V42" s="118"/>
      <c r="W42" s="118"/>
      <c r="X42" s="118"/>
      <c r="Y42" s="118"/>
      <c r="Z42" s="118"/>
      <c r="AA42" s="118"/>
      <c r="AB42" s="118"/>
      <c r="AC42" s="118"/>
      <c r="AD42" s="118"/>
      <c r="AE42" s="118"/>
      <c r="AF42" s="118"/>
      <c r="AG42" s="118"/>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7"/>
      <c r="BR42" s="117"/>
      <c r="BS42" s="117"/>
      <c r="BT42" s="117"/>
      <c r="BU42" s="117"/>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row>
    <row r="43" spans="1:104" s="13" customFormat="1">
      <c r="A43" s="26"/>
      <c r="B43" s="57">
        <v>7</v>
      </c>
      <c r="C43" s="178" t="s">
        <v>389</v>
      </c>
      <c r="D43" s="14"/>
      <c r="E43" s="14"/>
      <c r="F43" s="14"/>
      <c r="G43" s="14"/>
      <c r="H43" s="135"/>
      <c r="J43" s="14"/>
      <c r="K43" s="14"/>
      <c r="L43" s="14"/>
      <c r="M43" s="14"/>
      <c r="N43" s="14"/>
      <c r="O43" s="14"/>
      <c r="P43" s="14"/>
      <c r="Q43" s="14"/>
      <c r="S43" s="118"/>
      <c r="T43" s="118"/>
      <c r="U43" s="118"/>
      <c r="V43" s="118"/>
      <c r="W43" s="118"/>
      <c r="X43" s="118"/>
      <c r="Y43" s="118"/>
      <c r="Z43" s="118"/>
      <c r="AA43" s="118"/>
      <c r="AB43" s="118"/>
      <c r="AC43" s="118"/>
      <c r="AD43" s="118"/>
      <c r="AE43" s="118"/>
      <c r="AF43" s="118"/>
      <c r="AG43" s="118"/>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row>
    <row r="44" spans="1:104" s="13" customFormat="1">
      <c r="A44" s="26"/>
      <c r="B44" s="57">
        <v>8</v>
      </c>
      <c r="C44" s="177" t="s">
        <v>382</v>
      </c>
      <c r="D44" s="14"/>
      <c r="E44" s="14"/>
      <c r="F44" s="14"/>
      <c r="G44" s="14"/>
      <c r="H44" s="135"/>
      <c r="J44" s="14"/>
      <c r="K44" s="14"/>
      <c r="L44" s="14"/>
      <c r="M44" s="14"/>
      <c r="N44" s="14"/>
      <c r="O44" s="14"/>
      <c r="P44" s="14"/>
      <c r="Q44" s="14"/>
      <c r="S44" s="118"/>
      <c r="T44" s="118"/>
      <c r="U44" s="118"/>
      <c r="V44" s="118"/>
      <c r="W44" s="118"/>
      <c r="X44" s="118"/>
      <c r="Y44" s="118"/>
      <c r="Z44" s="118"/>
      <c r="AA44" s="118"/>
      <c r="AB44" s="118"/>
      <c r="AC44" s="118"/>
      <c r="AD44" s="118"/>
      <c r="AE44" s="118"/>
      <c r="AF44" s="118"/>
      <c r="AG44" s="118"/>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row>
    <row r="45" spans="1:104" s="13" customFormat="1" ht="6" customHeight="1">
      <c r="A45" s="26"/>
      <c r="B45" s="14"/>
      <c r="C45" s="14"/>
      <c r="D45" s="14"/>
      <c r="E45" s="14"/>
      <c r="F45" s="14"/>
      <c r="G45" s="14"/>
      <c r="H45" s="79"/>
      <c r="J45" s="14"/>
      <c r="K45" s="14"/>
      <c r="L45" s="14"/>
      <c r="M45" s="14"/>
      <c r="N45" s="14"/>
      <c r="O45" s="14"/>
      <c r="P45" s="14"/>
      <c r="Q45" s="14"/>
      <c r="S45" s="118"/>
      <c r="T45" s="118"/>
      <c r="U45" s="118"/>
      <c r="V45" s="118"/>
      <c r="W45" s="118"/>
      <c r="X45" s="118"/>
      <c r="Y45" s="118"/>
      <c r="Z45" s="118"/>
      <c r="AA45" s="118"/>
      <c r="AB45" s="118"/>
      <c r="AC45" s="118"/>
      <c r="AD45" s="118"/>
      <c r="AE45" s="118"/>
      <c r="AF45" s="118"/>
      <c r="AG45" s="118"/>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row>
    <row r="46" spans="1:104" s="13" customFormat="1">
      <c r="A46" s="26" t="s">
        <v>4</v>
      </c>
      <c r="B46" s="27" t="s">
        <v>25</v>
      </c>
      <c r="C46" s="14"/>
      <c r="D46" s="14"/>
      <c r="E46" s="14"/>
      <c r="F46" s="14"/>
      <c r="G46" s="14"/>
      <c r="H46" s="82"/>
      <c r="J46" s="14"/>
      <c r="K46" s="14"/>
      <c r="L46" s="123"/>
      <c r="M46" s="14"/>
      <c r="N46" s="14"/>
      <c r="O46" s="14"/>
      <c r="P46" s="14"/>
      <c r="Q46" s="14"/>
      <c r="S46" s="118"/>
      <c r="T46" s="118"/>
      <c r="U46" s="118"/>
      <c r="V46" s="118"/>
      <c r="W46" s="118"/>
      <c r="X46" s="118"/>
      <c r="Y46" s="118"/>
      <c r="Z46" s="118"/>
      <c r="AA46" s="118"/>
      <c r="AB46" s="118"/>
      <c r="AC46" s="118"/>
      <c r="AD46" s="118"/>
      <c r="AE46" s="118"/>
      <c r="AF46" s="118"/>
      <c r="AG46" s="118"/>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7"/>
      <c r="CV46" s="117"/>
      <c r="CW46" s="117"/>
      <c r="CX46" s="117"/>
      <c r="CY46" s="117"/>
      <c r="CZ46" s="117"/>
    </row>
    <row r="47" spans="1:104" s="13" customFormat="1" ht="6" customHeight="1">
      <c r="A47" s="26"/>
      <c r="B47" s="27"/>
      <c r="C47" s="14"/>
      <c r="D47" s="14"/>
      <c r="E47" s="14"/>
      <c r="F47" s="14"/>
      <c r="G47" s="14"/>
      <c r="H47" s="134"/>
      <c r="I47" s="81"/>
      <c r="J47" s="71"/>
      <c r="K47" s="14"/>
      <c r="L47" s="14"/>
      <c r="M47" s="14"/>
      <c r="N47" s="14"/>
      <c r="O47" s="14"/>
      <c r="P47" s="14"/>
      <c r="Q47" s="14"/>
      <c r="S47" s="118"/>
      <c r="T47" s="118"/>
      <c r="U47" s="118"/>
      <c r="V47" s="118"/>
      <c r="W47" s="118"/>
      <c r="X47" s="118"/>
      <c r="Y47" s="118"/>
      <c r="Z47" s="118"/>
      <c r="AA47" s="118"/>
      <c r="AB47" s="118"/>
      <c r="AC47" s="118"/>
      <c r="AD47" s="118"/>
      <c r="AE47" s="118"/>
      <c r="AF47" s="118"/>
      <c r="AG47" s="118"/>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row>
    <row r="48" spans="1:104" s="13" customFormat="1">
      <c r="A48" s="26" t="s">
        <v>7</v>
      </c>
      <c r="B48" s="27" t="s">
        <v>83</v>
      </c>
      <c r="C48" s="14"/>
      <c r="D48" s="14"/>
      <c r="E48" s="14"/>
      <c r="F48" s="14"/>
      <c r="G48" s="14"/>
      <c r="H48" s="82"/>
      <c r="J48" s="28" t="s">
        <v>41</v>
      </c>
      <c r="K48" s="14"/>
      <c r="L48" s="14"/>
      <c r="M48" s="14"/>
      <c r="N48" s="14"/>
      <c r="O48" s="14"/>
      <c r="P48" s="14"/>
      <c r="Q48" s="14"/>
      <c r="S48" s="118"/>
      <c r="T48" s="118"/>
      <c r="U48" s="118"/>
      <c r="V48" s="118"/>
      <c r="W48" s="118"/>
      <c r="X48" s="118"/>
      <c r="Y48" s="118"/>
      <c r="Z48" s="118"/>
      <c r="AA48" s="118"/>
      <c r="AB48" s="118"/>
      <c r="AC48" s="118"/>
      <c r="AD48" s="118"/>
      <c r="AE48" s="118"/>
      <c r="AF48" s="118"/>
      <c r="AG48" s="118"/>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row>
    <row r="49" spans="1:104" s="13" customFormat="1" ht="6" customHeight="1">
      <c r="A49" s="26"/>
      <c r="B49" s="28"/>
      <c r="C49" s="14"/>
      <c r="D49" s="14"/>
      <c r="E49" s="14"/>
      <c r="F49" s="14"/>
      <c r="G49" s="14"/>
      <c r="H49" s="135"/>
      <c r="I49" s="14"/>
      <c r="J49" s="14"/>
      <c r="K49" s="14"/>
      <c r="L49" s="14"/>
      <c r="M49" s="14"/>
      <c r="N49" s="14"/>
      <c r="O49" s="14"/>
      <c r="P49" s="14"/>
      <c r="Q49" s="14"/>
      <c r="S49" s="118"/>
      <c r="T49" s="118"/>
      <c r="U49" s="118"/>
      <c r="V49" s="118"/>
      <c r="W49" s="118"/>
      <c r="X49" s="118"/>
      <c r="Y49" s="118"/>
      <c r="Z49" s="118"/>
      <c r="AA49" s="118"/>
      <c r="AB49" s="118"/>
      <c r="AC49" s="118"/>
      <c r="AD49" s="118"/>
      <c r="AE49" s="118"/>
      <c r="AF49" s="118"/>
      <c r="AG49" s="118"/>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row>
    <row r="50" spans="1:104" s="13" customFormat="1">
      <c r="A50" s="26" t="s">
        <v>8</v>
      </c>
      <c r="B50" s="27" t="s">
        <v>26</v>
      </c>
      <c r="C50" s="14"/>
      <c r="D50" s="14"/>
      <c r="E50" s="14"/>
      <c r="F50" s="14"/>
      <c r="G50" s="14"/>
      <c r="H50" s="82"/>
      <c r="I50" s="81" t="s">
        <v>131</v>
      </c>
      <c r="J50" s="14"/>
      <c r="K50" s="14"/>
      <c r="L50" s="14"/>
      <c r="M50" s="14"/>
      <c r="N50" s="14"/>
      <c r="O50" s="14"/>
      <c r="P50" s="14"/>
      <c r="Q50" s="14"/>
      <c r="S50" s="118"/>
      <c r="T50" s="118"/>
      <c r="U50" s="118"/>
      <c r="V50" s="118"/>
      <c r="W50" s="118"/>
      <c r="X50" s="118"/>
      <c r="Y50" s="118"/>
      <c r="Z50" s="118"/>
      <c r="AA50" s="118"/>
      <c r="AB50" s="118"/>
      <c r="AC50" s="118"/>
      <c r="AD50" s="118"/>
      <c r="AE50" s="118"/>
      <c r="AF50" s="118"/>
      <c r="AG50" s="118"/>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row>
    <row r="51" spans="1:104" s="13" customFormat="1">
      <c r="A51" s="26"/>
      <c r="B51" s="28" t="s">
        <v>37</v>
      </c>
      <c r="C51" s="14"/>
      <c r="D51" s="14"/>
      <c r="E51" s="14"/>
      <c r="F51" s="14"/>
      <c r="G51" s="14"/>
      <c r="H51" s="135"/>
      <c r="I51" s="14"/>
      <c r="J51" s="14"/>
      <c r="K51" s="14"/>
      <c r="L51" s="14"/>
      <c r="M51" s="14"/>
      <c r="N51" s="14"/>
      <c r="O51" s="14"/>
      <c r="P51" s="14"/>
      <c r="Q51" s="14"/>
      <c r="S51" s="118"/>
      <c r="T51" s="118"/>
      <c r="U51" s="118"/>
      <c r="V51" s="118"/>
      <c r="W51" s="118"/>
      <c r="X51" s="118"/>
      <c r="Y51" s="118"/>
      <c r="Z51" s="118"/>
      <c r="AA51" s="118"/>
      <c r="AB51" s="118"/>
      <c r="AC51" s="118"/>
      <c r="AD51" s="118"/>
      <c r="AE51" s="118"/>
      <c r="AF51" s="118"/>
      <c r="AG51" s="118"/>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row>
    <row r="52" spans="1:104" s="13" customFormat="1">
      <c r="A52" s="26"/>
      <c r="B52" s="28" t="s">
        <v>38</v>
      </c>
      <c r="C52" s="14"/>
      <c r="D52" s="14"/>
      <c r="E52" s="14"/>
      <c r="F52" s="14"/>
      <c r="G52" s="14"/>
      <c r="H52" s="135"/>
      <c r="I52" s="14"/>
      <c r="J52" s="14"/>
      <c r="K52" s="14"/>
      <c r="L52" s="14"/>
      <c r="M52" s="14"/>
      <c r="N52" s="14"/>
      <c r="O52" s="14"/>
      <c r="P52" s="14"/>
      <c r="Q52" s="14"/>
      <c r="S52" s="118"/>
      <c r="T52" s="118"/>
      <c r="U52" s="118"/>
      <c r="V52" s="118"/>
      <c r="W52" s="118"/>
      <c r="X52" s="118"/>
      <c r="Y52" s="118"/>
      <c r="Z52" s="118"/>
      <c r="AA52" s="118"/>
      <c r="AB52" s="118"/>
      <c r="AC52" s="118"/>
      <c r="AD52" s="118"/>
      <c r="AE52" s="118"/>
      <c r="AF52" s="118"/>
      <c r="AG52" s="118"/>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row>
    <row r="53" spans="1:104">
      <c r="A53" s="29"/>
      <c r="B53" s="28" t="s">
        <v>39</v>
      </c>
      <c r="G53" s="5"/>
      <c r="H53" s="136"/>
      <c r="J53" s="11"/>
      <c r="R53" s="6"/>
    </row>
    <row r="54" spans="1:104">
      <c r="B54" s="28" t="s">
        <v>40</v>
      </c>
      <c r="H54" s="136"/>
      <c r="J54" s="12"/>
      <c r="R54" s="6"/>
    </row>
    <row r="55" spans="1:104" ht="6" customHeight="1">
      <c r="B55" s="28"/>
      <c r="H55" s="136"/>
      <c r="J55" s="12"/>
      <c r="R55" s="6"/>
    </row>
    <row r="56" spans="1:104">
      <c r="A56" s="26" t="s">
        <v>9</v>
      </c>
      <c r="B56" s="27" t="s">
        <v>27</v>
      </c>
      <c r="G56" s="20"/>
      <c r="H56" s="82"/>
      <c r="I56" s="81" t="s">
        <v>344</v>
      </c>
      <c r="R56" s="6"/>
    </row>
    <row r="57" spans="1:104" ht="13.8">
      <c r="A57" s="26"/>
      <c r="B57" s="28" t="s">
        <v>349</v>
      </c>
      <c r="G57" s="20"/>
      <c r="H57" s="135"/>
      <c r="I57" s="154"/>
      <c r="R57" s="6"/>
    </row>
    <row r="58" spans="1:104" ht="13.8">
      <c r="A58" s="26"/>
      <c r="B58" s="28" t="s">
        <v>340</v>
      </c>
      <c r="C58" s="28"/>
      <c r="G58" s="20"/>
      <c r="H58" s="135"/>
      <c r="I58" s="154"/>
      <c r="R58" s="6"/>
    </row>
    <row r="59" spans="1:104" ht="13.8">
      <c r="A59" s="26"/>
      <c r="B59" s="28" t="s">
        <v>343</v>
      </c>
      <c r="C59" s="28"/>
      <c r="G59" s="20"/>
      <c r="H59" s="135"/>
      <c r="I59" s="154"/>
      <c r="R59" s="6"/>
    </row>
    <row r="60" spans="1:104" ht="13.8">
      <c r="A60" s="26"/>
      <c r="B60" s="28" t="s">
        <v>341</v>
      </c>
      <c r="C60" s="28"/>
      <c r="G60" s="20"/>
      <c r="H60" s="135"/>
      <c r="I60" s="154"/>
      <c r="R60" s="6"/>
    </row>
    <row r="61" spans="1:104" ht="13.8">
      <c r="A61" s="26"/>
      <c r="B61" s="28" t="s">
        <v>342</v>
      </c>
      <c r="C61" s="28"/>
      <c r="G61" s="20"/>
      <c r="H61" s="135"/>
      <c r="I61" s="154"/>
      <c r="R61" s="6"/>
    </row>
    <row r="62" spans="1:104" ht="6" customHeight="1">
      <c r="B62" s="28"/>
      <c r="H62" s="136"/>
      <c r="R62" s="6"/>
    </row>
    <row r="63" spans="1:104" ht="13.8">
      <c r="A63" s="26" t="s">
        <v>10</v>
      </c>
      <c r="B63" s="58" t="s">
        <v>28</v>
      </c>
      <c r="H63" s="82"/>
      <c r="I63" s="133"/>
      <c r="J63" s="10" t="s">
        <v>391</v>
      </c>
      <c r="R63" s="6"/>
    </row>
    <row r="64" spans="1:104" ht="6" customHeight="1">
      <c r="B64" s="28"/>
      <c r="R64" s="6"/>
    </row>
    <row r="65" spans="1:18" ht="18.600000000000001">
      <c r="A65" s="52"/>
      <c r="B65" s="160" t="s">
        <v>19</v>
      </c>
      <c r="C65" s="53"/>
      <c r="D65" s="53"/>
      <c r="E65" s="53"/>
      <c r="F65" s="53"/>
      <c r="G65" s="53"/>
      <c r="H65" s="53"/>
      <c r="I65" s="53"/>
      <c r="J65" s="53"/>
      <c r="K65" s="53"/>
      <c r="L65" s="53"/>
      <c r="M65" s="53"/>
      <c r="N65" s="53"/>
      <c r="O65" s="54"/>
      <c r="P65" s="56"/>
      <c r="Q65" s="56"/>
      <c r="R65" s="6"/>
    </row>
    <row r="66" spans="1:18" ht="6" customHeight="1">
      <c r="B66" s="27"/>
      <c r="R66" s="6"/>
    </row>
    <row r="67" spans="1:18">
      <c r="A67" s="26" t="s">
        <v>42</v>
      </c>
      <c r="B67" s="1" t="s">
        <v>310</v>
      </c>
      <c r="I67" s="31"/>
      <c r="L67" s="164"/>
      <c r="N67" s="10" t="s">
        <v>350</v>
      </c>
      <c r="R67" s="6"/>
    </row>
    <row r="68" spans="1:18" ht="13.8">
      <c r="A68" s="26"/>
      <c r="B68" s="152" t="s">
        <v>335</v>
      </c>
      <c r="I68" s="31"/>
      <c r="L68" s="79"/>
      <c r="R68" s="6"/>
    </row>
    <row r="69" spans="1:18" ht="13.8">
      <c r="A69" s="26"/>
      <c r="B69" s="152" t="s">
        <v>373</v>
      </c>
      <c r="I69" s="31"/>
      <c r="L69" s="79"/>
      <c r="R69" s="6"/>
    </row>
    <row r="70" spans="1:18" ht="6" customHeight="1">
      <c r="A70" s="26"/>
      <c r="B70" s="28"/>
      <c r="R70" s="6"/>
    </row>
    <row r="71" spans="1:18">
      <c r="A71" s="26" t="s">
        <v>11</v>
      </c>
      <c r="B71" s="34" t="s">
        <v>312</v>
      </c>
      <c r="C71" s="30"/>
      <c r="D71" s="9"/>
      <c r="E71" s="9"/>
      <c r="G71" s="9"/>
      <c r="I71" s="9"/>
      <c r="L71" s="78"/>
      <c r="N71" s="10" t="s">
        <v>352</v>
      </c>
      <c r="R71" s="6"/>
    </row>
    <row r="72" spans="1:18" ht="13.8">
      <c r="A72" s="26"/>
      <c r="B72" s="152" t="s">
        <v>371</v>
      </c>
      <c r="C72" s="30"/>
      <c r="D72" s="9"/>
      <c r="E72" s="9"/>
      <c r="G72" s="9"/>
      <c r="I72" s="9"/>
      <c r="L72" s="131"/>
      <c r="R72" s="6"/>
    </row>
    <row r="73" spans="1:18" ht="13.8">
      <c r="A73" s="26"/>
      <c r="B73" s="152" t="s">
        <v>372</v>
      </c>
      <c r="C73" s="30"/>
      <c r="D73" s="9"/>
      <c r="E73" s="9"/>
      <c r="G73" s="9"/>
      <c r="I73" s="9"/>
      <c r="L73" s="79"/>
      <c r="R73" s="6"/>
    </row>
    <row r="74" spans="1:18" ht="13.8">
      <c r="A74" s="26"/>
      <c r="B74" s="152" t="s">
        <v>336</v>
      </c>
      <c r="C74" s="30"/>
      <c r="D74" s="9"/>
      <c r="E74" s="9"/>
      <c r="G74" s="9"/>
      <c r="I74" s="9"/>
      <c r="L74" s="79"/>
      <c r="R74" s="6"/>
    </row>
    <row r="75" spans="1:18" ht="13.8">
      <c r="A75" s="26"/>
      <c r="B75" s="153" t="s">
        <v>337</v>
      </c>
      <c r="C75" s="30"/>
      <c r="D75" s="9"/>
      <c r="E75" s="9"/>
      <c r="G75" s="153" t="s">
        <v>338</v>
      </c>
      <c r="I75" s="9"/>
      <c r="L75" s="79"/>
      <c r="R75" s="6"/>
    </row>
    <row r="76" spans="1:18" ht="13.8">
      <c r="A76" s="26"/>
      <c r="B76" s="152" t="s">
        <v>351</v>
      </c>
      <c r="C76" s="30"/>
      <c r="D76" s="9"/>
      <c r="E76" s="9"/>
      <c r="G76" s="153"/>
      <c r="I76" s="9"/>
      <c r="L76" s="79"/>
      <c r="R76" s="6"/>
    </row>
    <row r="77" spans="1:18" ht="6" customHeight="1">
      <c r="A77" s="26"/>
      <c r="B77" s="1"/>
      <c r="C77" s="30"/>
      <c r="D77" s="9"/>
      <c r="E77" s="9"/>
      <c r="G77" s="9"/>
      <c r="I77" s="9"/>
      <c r="L77" s="138"/>
      <c r="R77" s="6"/>
    </row>
    <row r="78" spans="1:18">
      <c r="A78" s="26" t="s">
        <v>29</v>
      </c>
      <c r="B78" s="34" t="s">
        <v>311</v>
      </c>
      <c r="C78" s="9"/>
      <c r="D78" s="9"/>
      <c r="E78" s="9"/>
      <c r="G78" s="9"/>
      <c r="I78" s="9"/>
      <c r="L78" s="164"/>
      <c r="N78" s="10" t="s">
        <v>354</v>
      </c>
      <c r="R78" s="6"/>
    </row>
    <row r="79" spans="1:18" ht="13.8">
      <c r="A79" s="26"/>
      <c r="B79" s="152" t="s">
        <v>353</v>
      </c>
      <c r="R79" s="6"/>
    </row>
    <row r="80" spans="1:18" ht="6" customHeight="1">
      <c r="A80" s="26"/>
      <c r="B80" s="28"/>
      <c r="R80" s="6"/>
    </row>
    <row r="81" spans="1:18">
      <c r="A81" s="26" t="s">
        <v>30</v>
      </c>
      <c r="B81" s="27" t="s">
        <v>32</v>
      </c>
      <c r="L81" s="83"/>
      <c r="N81" s="59" t="s">
        <v>33</v>
      </c>
      <c r="R81" s="6"/>
    </row>
    <row r="82" spans="1:18" ht="6" customHeight="1">
      <c r="A82" s="26"/>
      <c r="B82" s="28"/>
      <c r="R82" s="6"/>
    </row>
    <row r="83" spans="1:18">
      <c r="B83" s="176" t="s">
        <v>314</v>
      </c>
      <c r="R83" s="6"/>
    </row>
    <row r="84" spans="1:18" ht="6" customHeight="1">
      <c r="A84" s="26"/>
      <c r="B84" s="27"/>
      <c r="R84" s="6"/>
    </row>
    <row r="85" spans="1:18">
      <c r="A85" s="26" t="s">
        <v>31</v>
      </c>
      <c r="B85" s="34" t="s">
        <v>392</v>
      </c>
      <c r="I85" s="28"/>
      <c r="L85" s="167"/>
      <c r="R85" s="6"/>
    </row>
    <row r="86" spans="1:18">
      <c r="A86" s="26"/>
      <c r="B86" s="1" t="s">
        <v>313</v>
      </c>
      <c r="L86" s="87"/>
      <c r="R86" s="6"/>
    </row>
    <row r="87" spans="1:18" ht="6" customHeight="1">
      <c r="A87" s="26"/>
      <c r="B87" s="28"/>
      <c r="L87" s="19"/>
      <c r="R87" s="6"/>
    </row>
    <row r="88" spans="1:18">
      <c r="A88" s="26" t="s">
        <v>166</v>
      </c>
      <c r="B88" s="1" t="s">
        <v>315</v>
      </c>
      <c r="I88" s="28"/>
      <c r="L88" s="167"/>
      <c r="R88" s="6"/>
    </row>
    <row r="89" spans="1:18" ht="6" customHeight="1">
      <c r="A89" s="26"/>
      <c r="B89" s="28"/>
      <c r="R89" s="6"/>
    </row>
    <row r="90" spans="1:18">
      <c r="A90" s="26" t="s">
        <v>167</v>
      </c>
      <c r="B90" s="27" t="s">
        <v>47</v>
      </c>
      <c r="G90" s="19" t="s">
        <v>339</v>
      </c>
      <c r="R90" s="6"/>
    </row>
    <row r="91" spans="1:18" ht="6" customHeight="1">
      <c r="A91" s="26"/>
      <c r="B91" s="27"/>
      <c r="R91" s="6"/>
    </row>
    <row r="92" spans="1:18">
      <c r="A92" s="26"/>
      <c r="B92" s="34" t="s">
        <v>173</v>
      </c>
      <c r="D92" s="1" t="s">
        <v>49</v>
      </c>
      <c r="R92" s="6"/>
    </row>
    <row r="93" spans="1:18">
      <c r="A93" s="26"/>
      <c r="B93" s="34" t="s">
        <v>174</v>
      </c>
      <c r="D93" s="1" t="s">
        <v>50</v>
      </c>
      <c r="R93" s="6"/>
    </row>
    <row r="94" spans="1:18">
      <c r="A94" s="26"/>
      <c r="B94" s="34" t="s">
        <v>172</v>
      </c>
      <c r="D94" s="1" t="s">
        <v>51</v>
      </c>
      <c r="R94" s="6"/>
    </row>
    <row r="95" spans="1:18">
      <c r="A95" s="26"/>
      <c r="B95" s="6"/>
      <c r="D95" s="1" t="s">
        <v>52</v>
      </c>
      <c r="R95" s="6"/>
    </row>
    <row r="96" spans="1:18">
      <c r="A96" s="26"/>
      <c r="B96" s="34" t="s">
        <v>48</v>
      </c>
      <c r="D96" s="1"/>
      <c r="R96" s="6"/>
    </row>
    <row r="97" spans="1:18">
      <c r="A97" s="26"/>
      <c r="B97" s="28"/>
      <c r="D97" s="35" t="s">
        <v>53</v>
      </c>
      <c r="R97" s="6"/>
    </row>
    <row r="98" spans="1:18" ht="13.8" thickBot="1">
      <c r="A98" s="26"/>
      <c r="B98" s="28"/>
      <c r="R98" s="6"/>
    </row>
    <row r="99" spans="1:18">
      <c r="A99" s="26"/>
      <c r="B99" s="28"/>
      <c r="H99" s="37"/>
      <c r="I99" s="38"/>
      <c r="J99" s="39" t="s">
        <v>54</v>
      </c>
      <c r="K99" s="38"/>
      <c r="L99" s="40"/>
      <c r="R99" s="6"/>
    </row>
    <row r="100" spans="1:18" ht="13.8" thickBot="1">
      <c r="A100" s="26"/>
      <c r="B100" s="28"/>
      <c r="H100" s="41" t="s">
        <v>55</v>
      </c>
      <c r="I100" s="42"/>
      <c r="J100" s="43" t="s">
        <v>56</v>
      </c>
      <c r="K100" s="42"/>
      <c r="L100" s="44" t="s">
        <v>57</v>
      </c>
      <c r="R100" s="6"/>
    </row>
    <row r="101" spans="1:18">
      <c r="B101" s="28" t="s">
        <v>58</v>
      </c>
      <c r="H101" s="45"/>
      <c r="J101" s="45"/>
      <c r="K101" s="46"/>
      <c r="L101" s="45"/>
      <c r="R101" s="6"/>
    </row>
    <row r="102" spans="1:18">
      <c r="B102" s="28" t="s">
        <v>59</v>
      </c>
      <c r="H102" s="47"/>
      <c r="I102" s="46"/>
      <c r="J102" s="47"/>
      <c r="K102" s="46"/>
      <c r="L102" s="47"/>
      <c r="R102" s="6"/>
    </row>
    <row r="103" spans="1:18">
      <c r="B103" s="28" t="s">
        <v>60</v>
      </c>
      <c r="H103" s="47"/>
      <c r="I103" s="46"/>
      <c r="J103" s="47"/>
      <c r="K103" s="46"/>
      <c r="L103" s="47"/>
      <c r="R103" s="6"/>
    </row>
    <row r="104" spans="1:18">
      <c r="B104" s="28" t="s">
        <v>61</v>
      </c>
      <c r="H104" s="47"/>
      <c r="I104" s="46"/>
      <c r="J104" s="47"/>
      <c r="K104" s="46"/>
      <c r="L104" s="47"/>
      <c r="R104" s="6"/>
    </row>
    <row r="105" spans="1:18">
      <c r="B105" s="28" t="s">
        <v>62</v>
      </c>
      <c r="H105" s="47"/>
      <c r="I105" s="46"/>
      <c r="J105" s="47"/>
      <c r="K105" s="46"/>
      <c r="L105" s="47"/>
      <c r="R105" s="6"/>
    </row>
    <row r="106" spans="1:18">
      <c r="B106" s="28"/>
      <c r="H106" s="188"/>
      <c r="I106" s="46"/>
      <c r="J106" s="188"/>
      <c r="K106" s="46"/>
      <c r="L106" s="188"/>
      <c r="R106" s="6"/>
    </row>
    <row r="107" spans="1:18">
      <c r="A107" s="26" t="s">
        <v>168</v>
      </c>
      <c r="B107" s="1" t="s">
        <v>445</v>
      </c>
      <c r="I107" s="145"/>
      <c r="J107" s="47"/>
      <c r="N107" s="59"/>
      <c r="R107" s="6"/>
    </row>
    <row r="108" spans="1:18">
      <c r="A108" s="26"/>
      <c r="B108" s="34"/>
      <c r="H108" s="145">
        <v>2020</v>
      </c>
      <c r="J108" s="192"/>
      <c r="L108" s="63"/>
      <c r="N108" s="59"/>
      <c r="R108" s="6"/>
    </row>
    <row r="109" spans="1:18">
      <c r="A109" s="26"/>
      <c r="B109" s="34"/>
      <c r="H109" s="145">
        <v>2021</v>
      </c>
      <c r="J109" s="192"/>
      <c r="L109" s="63"/>
      <c r="N109" s="59"/>
      <c r="R109" s="6"/>
    </row>
    <row r="110" spans="1:18">
      <c r="A110" s="26"/>
      <c r="B110" s="34"/>
      <c r="H110" s="197">
        <v>2022</v>
      </c>
      <c r="J110" s="192"/>
      <c r="L110" s="63"/>
      <c r="N110" s="59"/>
      <c r="R110" s="6"/>
    </row>
    <row r="111" spans="1:18" ht="6" customHeight="1">
      <c r="B111" s="28"/>
      <c r="H111" s="188"/>
      <c r="I111" s="46"/>
      <c r="J111" s="188"/>
      <c r="K111" s="46"/>
      <c r="L111" s="188"/>
      <c r="R111" s="6"/>
    </row>
    <row r="112" spans="1:18">
      <c r="A112" s="26" t="s">
        <v>169</v>
      </c>
      <c r="B112" s="1" t="s">
        <v>453</v>
      </c>
      <c r="L112" s="63"/>
      <c r="N112" s="59"/>
      <c r="R112" s="6"/>
    </row>
    <row r="113" spans="1:18">
      <c r="B113" s="198" t="s">
        <v>1</v>
      </c>
      <c r="C113" s="224"/>
      <c r="D113" s="225"/>
      <c r="E113" s="225"/>
      <c r="F113" s="225"/>
      <c r="G113" s="225"/>
      <c r="H113" s="225"/>
      <c r="I113" s="225"/>
      <c r="J113" s="225"/>
      <c r="K113" s="225"/>
      <c r="L113" s="225"/>
      <c r="M113" s="225"/>
      <c r="N113" s="226"/>
      <c r="R113" s="6"/>
    </row>
    <row r="114" spans="1:18">
      <c r="B114" s="198" t="s">
        <v>2</v>
      </c>
      <c r="C114" s="224"/>
      <c r="D114" s="225"/>
      <c r="E114" s="225"/>
      <c r="F114" s="225"/>
      <c r="G114" s="225"/>
      <c r="H114" s="225"/>
      <c r="I114" s="225"/>
      <c r="J114" s="225"/>
      <c r="K114" s="225"/>
      <c r="L114" s="225"/>
      <c r="M114" s="225"/>
      <c r="N114" s="226"/>
      <c r="R114" s="6"/>
    </row>
    <row r="115" spans="1:18">
      <c r="B115" s="198" t="s">
        <v>3</v>
      </c>
      <c r="C115" s="224"/>
      <c r="D115" s="225"/>
      <c r="E115" s="225"/>
      <c r="F115" s="225"/>
      <c r="G115" s="225"/>
      <c r="H115" s="225"/>
      <c r="I115" s="225"/>
      <c r="J115" s="225"/>
      <c r="K115" s="225"/>
      <c r="L115" s="225"/>
      <c r="M115" s="225"/>
      <c r="N115" s="226"/>
      <c r="R115" s="6"/>
    </row>
    <row r="116" spans="1:18">
      <c r="B116" s="28"/>
      <c r="R116" s="6"/>
    </row>
    <row r="117" spans="1:18" ht="18.600000000000001">
      <c r="A117" s="49"/>
      <c r="B117" s="160" t="s">
        <v>20</v>
      </c>
      <c r="C117" s="50"/>
      <c r="D117" s="50"/>
      <c r="E117" s="50"/>
      <c r="F117" s="50"/>
      <c r="G117" s="50"/>
      <c r="H117" s="50"/>
      <c r="I117" s="50"/>
      <c r="J117" s="50"/>
      <c r="K117" s="50"/>
      <c r="L117" s="50"/>
      <c r="M117" s="50"/>
      <c r="N117" s="50"/>
      <c r="O117" s="51"/>
      <c r="P117" s="56"/>
      <c r="Q117" s="56"/>
      <c r="R117" s="6"/>
    </row>
    <row r="118" spans="1:18" ht="6" customHeight="1">
      <c r="B118" s="27"/>
      <c r="R118" s="6"/>
    </row>
    <row r="119" spans="1:18" ht="13.8">
      <c r="B119" s="125" t="s">
        <v>303</v>
      </c>
      <c r="C119" s="67"/>
      <c r="R119" s="6"/>
    </row>
    <row r="120" spans="1:18">
      <c r="A120" s="26" t="s">
        <v>170</v>
      </c>
      <c r="B120" s="60"/>
      <c r="C120" s="67" t="s">
        <v>84</v>
      </c>
      <c r="R120" s="6"/>
    </row>
    <row r="121" spans="1:18" ht="6" customHeight="1">
      <c r="B121" s="10"/>
      <c r="C121" s="67"/>
      <c r="R121" s="6"/>
    </row>
    <row r="122" spans="1:18">
      <c r="A122" s="26" t="s">
        <v>171</v>
      </c>
      <c r="B122" s="60"/>
      <c r="C122" s="67" t="s">
        <v>427</v>
      </c>
      <c r="R122" s="6"/>
    </row>
    <row r="123" spans="1:18" ht="6" customHeight="1">
      <c r="B123" s="10"/>
      <c r="C123" s="67"/>
      <c r="R123" s="6"/>
    </row>
    <row r="124" spans="1:18">
      <c r="A124" s="26" t="s">
        <v>252</v>
      </c>
      <c r="B124" s="60"/>
      <c r="C124" s="67" t="s">
        <v>85</v>
      </c>
      <c r="R124" s="6"/>
    </row>
    <row r="125" spans="1:18" ht="6" customHeight="1">
      <c r="B125" s="28"/>
      <c r="R125" s="6"/>
    </row>
    <row r="126" spans="1:18" ht="25.05" customHeight="1">
      <c r="A126" s="189" t="s">
        <v>253</v>
      </c>
      <c r="B126" s="203" t="s">
        <v>433</v>
      </c>
      <c r="C126" s="204"/>
      <c r="D126" s="204"/>
      <c r="E126" s="204"/>
      <c r="F126" s="204"/>
      <c r="G126" s="204"/>
      <c r="H126" s="204"/>
      <c r="I126" s="204"/>
      <c r="J126" s="204"/>
      <c r="L126" s="196"/>
      <c r="M126" s="81" t="s">
        <v>344</v>
      </c>
      <c r="R126" s="6"/>
    </row>
    <row r="127" spans="1:18">
      <c r="B127" s="28" t="s">
        <v>430</v>
      </c>
      <c r="R127" s="6"/>
    </row>
    <row r="128" spans="1:18">
      <c r="B128" s="28" t="s">
        <v>434</v>
      </c>
      <c r="R128" s="6"/>
    </row>
    <row r="129" spans="1:18">
      <c r="B129" s="28" t="s">
        <v>429</v>
      </c>
      <c r="R129" s="6"/>
    </row>
    <row r="130" spans="1:18">
      <c r="B130" s="28" t="s">
        <v>431</v>
      </c>
      <c r="R130" s="6"/>
    </row>
    <row r="131" spans="1:18">
      <c r="B131" s="28" t="s">
        <v>432</v>
      </c>
      <c r="R131" s="6"/>
    </row>
    <row r="132" spans="1:18" ht="6" customHeight="1">
      <c r="B132" s="28"/>
      <c r="R132" s="6"/>
    </row>
    <row r="133" spans="1:18">
      <c r="A133" s="26" t="s">
        <v>254</v>
      </c>
      <c r="B133" s="27" t="s">
        <v>86</v>
      </c>
      <c r="J133" s="19"/>
      <c r="R133" s="6"/>
    </row>
    <row r="134" spans="1:18" ht="6" customHeight="1">
      <c r="A134" s="26"/>
      <c r="B134" s="27"/>
      <c r="J134" s="19"/>
      <c r="R134" s="6"/>
    </row>
    <row r="135" spans="1:18" ht="13.8">
      <c r="B135" s="69" t="s">
        <v>99</v>
      </c>
      <c r="R135" s="6"/>
    </row>
    <row r="136" spans="1:18">
      <c r="B136" s="68"/>
      <c r="C136" s="67" t="s">
        <v>87</v>
      </c>
      <c r="R136" s="6"/>
    </row>
    <row r="137" spans="1:18">
      <c r="B137" s="68"/>
      <c r="C137" s="67" t="s">
        <v>88</v>
      </c>
      <c r="R137" s="6"/>
    </row>
    <row r="138" spans="1:18">
      <c r="B138" s="68"/>
      <c r="C138" s="67" t="s">
        <v>89</v>
      </c>
      <c r="R138" s="6"/>
    </row>
    <row r="139" spans="1:18">
      <c r="B139" s="68"/>
      <c r="C139" s="67" t="s">
        <v>90</v>
      </c>
      <c r="R139" s="6"/>
    </row>
    <row r="140" spans="1:18">
      <c r="B140" s="68"/>
      <c r="C140" s="67" t="s">
        <v>91</v>
      </c>
      <c r="R140" s="6"/>
    </row>
    <row r="141" spans="1:18">
      <c r="B141" s="68"/>
      <c r="C141" s="67" t="s">
        <v>92</v>
      </c>
      <c r="R141" s="6"/>
    </row>
    <row r="142" spans="1:18">
      <c r="B142" s="68"/>
      <c r="C142" s="67" t="s">
        <v>93</v>
      </c>
      <c r="R142" s="6"/>
    </row>
    <row r="143" spans="1:18">
      <c r="B143" s="68"/>
      <c r="C143" s="67" t="s">
        <v>94</v>
      </c>
      <c r="R143" s="6"/>
    </row>
    <row r="144" spans="1:18">
      <c r="B144" s="68"/>
      <c r="C144" s="67" t="s">
        <v>95</v>
      </c>
      <c r="R144" s="6"/>
    </row>
    <row r="145" spans="1:18">
      <c r="B145" s="68"/>
      <c r="C145" s="67" t="s">
        <v>96</v>
      </c>
      <c r="R145" s="6"/>
    </row>
    <row r="146" spans="1:18">
      <c r="B146" s="68"/>
      <c r="C146" s="67" t="s">
        <v>97</v>
      </c>
      <c r="R146" s="6"/>
    </row>
    <row r="147" spans="1:18" ht="13.8">
      <c r="B147" s="68"/>
      <c r="C147" s="67" t="s">
        <v>98</v>
      </c>
      <c r="R147" s="6"/>
    </row>
    <row r="148" spans="1:18" ht="6" customHeight="1">
      <c r="B148" s="14"/>
      <c r="R148" s="6"/>
    </row>
    <row r="149" spans="1:18">
      <c r="A149" s="26" t="s">
        <v>255</v>
      </c>
      <c r="B149" s="27" t="s">
        <v>100</v>
      </c>
      <c r="R149" s="6"/>
    </row>
    <row r="150" spans="1:18" ht="6" customHeight="1">
      <c r="A150" s="26"/>
      <c r="B150" s="28"/>
      <c r="R150" s="6"/>
    </row>
    <row r="151" spans="1:18" ht="13.8">
      <c r="A151" s="26"/>
      <c r="B151" s="69" t="s">
        <v>101</v>
      </c>
      <c r="R151" s="6"/>
    </row>
    <row r="152" spans="1:18">
      <c r="B152" s="68"/>
      <c r="C152" s="67" t="s">
        <v>102</v>
      </c>
      <c r="R152" s="6"/>
    </row>
    <row r="153" spans="1:18">
      <c r="B153" s="68"/>
      <c r="C153" s="67" t="s">
        <v>103</v>
      </c>
      <c r="R153" s="6"/>
    </row>
    <row r="154" spans="1:18">
      <c r="B154" s="68"/>
      <c r="C154" s="67" t="s">
        <v>104</v>
      </c>
      <c r="R154" s="6"/>
    </row>
    <row r="155" spans="1:18">
      <c r="B155" s="68"/>
      <c r="C155" s="67" t="s">
        <v>105</v>
      </c>
      <c r="R155" s="6"/>
    </row>
    <row r="156" spans="1:18">
      <c r="B156" s="68"/>
      <c r="C156" s="67" t="s">
        <v>106</v>
      </c>
      <c r="R156" s="6"/>
    </row>
    <row r="157" spans="1:18">
      <c r="B157" s="68"/>
      <c r="C157" s="67" t="s">
        <v>107</v>
      </c>
      <c r="R157" s="6"/>
    </row>
    <row r="158" spans="1:18">
      <c r="B158" s="68"/>
      <c r="C158" s="67" t="s">
        <v>108</v>
      </c>
      <c r="R158" s="6"/>
    </row>
    <row r="159" spans="1:18">
      <c r="B159" s="68"/>
      <c r="C159" s="67" t="s">
        <v>109</v>
      </c>
      <c r="R159" s="6"/>
    </row>
    <row r="160" spans="1:18">
      <c r="B160" s="68"/>
      <c r="C160" s="67" t="s">
        <v>110</v>
      </c>
      <c r="R160" s="6"/>
    </row>
    <row r="161" spans="1:18">
      <c r="B161" s="68"/>
      <c r="C161" s="67" t="s">
        <v>111</v>
      </c>
      <c r="R161" s="6"/>
    </row>
    <row r="162" spans="1:18">
      <c r="B162" s="68"/>
      <c r="C162" s="67" t="s">
        <v>112</v>
      </c>
      <c r="R162" s="6"/>
    </row>
    <row r="163" spans="1:18" ht="6" customHeight="1">
      <c r="B163" s="70"/>
      <c r="R163" s="6"/>
    </row>
    <row r="164" spans="1:18" ht="18.600000000000001">
      <c r="A164" s="49"/>
      <c r="B164" s="160" t="s">
        <v>21</v>
      </c>
      <c r="C164" s="50"/>
      <c r="D164" s="50"/>
      <c r="E164" s="50"/>
      <c r="F164" s="50"/>
      <c r="G164" s="50"/>
      <c r="H164" s="50"/>
      <c r="I164" s="50"/>
      <c r="J164" s="50"/>
      <c r="K164" s="50"/>
      <c r="L164" s="50"/>
      <c r="M164" s="50"/>
      <c r="N164" s="50"/>
      <c r="O164" s="51"/>
      <c r="P164" s="56"/>
      <c r="Q164" s="56"/>
      <c r="R164" s="6"/>
    </row>
    <row r="165" spans="1:18" ht="6" customHeight="1">
      <c r="B165" s="27"/>
      <c r="R165" s="6"/>
    </row>
    <row r="166" spans="1:18">
      <c r="A166" s="26" t="s">
        <v>256</v>
      </c>
      <c r="B166" s="27" t="s">
        <v>63</v>
      </c>
      <c r="H166" s="83"/>
      <c r="R166" s="6"/>
    </row>
    <row r="167" spans="1:18" ht="6" customHeight="1">
      <c r="B167" s="28"/>
      <c r="R167" s="6"/>
    </row>
    <row r="168" spans="1:18">
      <c r="A168" s="26" t="s">
        <v>257</v>
      </c>
      <c r="B168" s="27" t="s">
        <v>66</v>
      </c>
      <c r="H168" s="139" t="s">
        <v>317</v>
      </c>
      <c r="R168" s="6"/>
    </row>
    <row r="169" spans="1:18">
      <c r="B169" s="28" t="s">
        <v>67</v>
      </c>
      <c r="H169" s="186"/>
      <c r="I169" s="10" t="s">
        <v>318</v>
      </c>
      <c r="R169" s="6"/>
    </row>
    <row r="170" spans="1:18">
      <c r="B170" s="28" t="s">
        <v>71</v>
      </c>
      <c r="H170" s="186"/>
      <c r="I170" s="10" t="s">
        <v>318</v>
      </c>
      <c r="R170" s="6"/>
    </row>
    <row r="171" spans="1:18" ht="13.8">
      <c r="B171" s="28" t="s">
        <v>70</v>
      </c>
      <c r="H171" s="186"/>
      <c r="I171" s="10" t="s">
        <v>318</v>
      </c>
      <c r="J171" s="36"/>
      <c r="R171" s="6"/>
    </row>
    <row r="172" spans="1:18">
      <c r="B172" s="28" t="s">
        <v>68</v>
      </c>
      <c r="H172" s="186"/>
      <c r="I172" s="10" t="s">
        <v>318</v>
      </c>
      <c r="R172" s="6"/>
    </row>
    <row r="173" spans="1:18">
      <c r="B173" s="28" t="s">
        <v>72</v>
      </c>
      <c r="H173" s="186"/>
      <c r="I173" s="10" t="s">
        <v>318</v>
      </c>
      <c r="R173" s="6"/>
    </row>
    <row r="174" spans="1:18">
      <c r="B174" s="28" t="s">
        <v>69</v>
      </c>
      <c r="H174" s="190">
        <f>100-SUM(H169:H173)</f>
        <v>100</v>
      </c>
      <c r="R174" s="6"/>
    </row>
    <row r="175" spans="1:18">
      <c r="B175" s="28"/>
      <c r="C175" s="19" t="s">
        <v>82</v>
      </c>
      <c r="H175" s="191">
        <v>1</v>
      </c>
      <c r="R175" s="6"/>
    </row>
    <row r="176" spans="1:18" ht="6" customHeight="1">
      <c r="B176" s="28"/>
      <c r="H176" s="20"/>
      <c r="R176" s="6"/>
    </row>
    <row r="177" spans="1:18">
      <c r="A177" s="26" t="s">
        <v>258</v>
      </c>
      <c r="B177" s="28" t="s">
        <v>426</v>
      </c>
      <c r="J177" s="148"/>
      <c r="K177" s="141" t="s">
        <v>317</v>
      </c>
      <c r="R177" s="6"/>
    </row>
    <row r="178" spans="1:18" ht="6" customHeight="1">
      <c r="B178" s="28"/>
      <c r="R178" s="6"/>
    </row>
    <row r="179" spans="1:18" ht="39.6">
      <c r="A179" s="26" t="s">
        <v>64</v>
      </c>
      <c r="B179" s="28" t="s">
        <v>316</v>
      </c>
      <c r="H179" s="185" t="s">
        <v>397</v>
      </c>
      <c r="J179" s="185" t="s">
        <v>398</v>
      </c>
      <c r="L179" s="185" t="s">
        <v>399</v>
      </c>
      <c r="R179" s="6"/>
    </row>
    <row r="180" spans="1:18" ht="13.8">
      <c r="B180" s="28" t="s">
        <v>34</v>
      </c>
      <c r="H180" s="186"/>
      <c r="I180" s="10" t="s">
        <v>318</v>
      </c>
      <c r="J180" s="187"/>
      <c r="K180" s="10" t="s">
        <v>318</v>
      </c>
      <c r="L180" s="193">
        <f>(H180+J180)/100</f>
        <v>0</v>
      </c>
      <c r="M180" s="165" t="s">
        <v>355</v>
      </c>
      <c r="R180" s="6"/>
    </row>
    <row r="181" spans="1:18" ht="13.8">
      <c r="B181" s="28" t="s">
        <v>35</v>
      </c>
      <c r="H181" s="186"/>
      <c r="I181" s="10" t="s">
        <v>318</v>
      </c>
      <c r="J181" s="187"/>
      <c r="K181" s="10" t="s">
        <v>318</v>
      </c>
      <c r="L181" s="193">
        <f t="shared" ref="L181:L191" si="0">(H181+J181)/100</f>
        <v>0</v>
      </c>
      <c r="M181" s="165" t="s">
        <v>356</v>
      </c>
      <c r="R181" s="6"/>
    </row>
    <row r="182" spans="1:18" ht="13.8">
      <c r="B182" s="28" t="s">
        <v>75</v>
      </c>
      <c r="H182" s="186"/>
      <c r="I182" s="10" t="s">
        <v>318</v>
      </c>
      <c r="J182" s="187"/>
      <c r="K182" s="10" t="s">
        <v>318</v>
      </c>
      <c r="L182" s="193">
        <f t="shared" si="0"/>
        <v>0</v>
      </c>
      <c r="M182" s="165" t="s">
        <v>357</v>
      </c>
      <c r="R182" s="6"/>
    </row>
    <row r="183" spans="1:18" ht="13.8">
      <c r="B183" s="28" t="s">
        <v>36</v>
      </c>
      <c r="H183" s="186"/>
      <c r="I183" s="9" t="s">
        <v>318</v>
      </c>
      <c r="J183" s="187"/>
      <c r="K183" s="9" t="s">
        <v>318</v>
      </c>
      <c r="L183" s="193">
        <f t="shared" si="0"/>
        <v>0</v>
      </c>
      <c r="M183" s="165" t="s">
        <v>358</v>
      </c>
      <c r="R183" s="6"/>
    </row>
    <row r="184" spans="1:18" ht="13.8">
      <c r="B184" s="28" t="s">
        <v>44</v>
      </c>
      <c r="H184" s="186"/>
      <c r="I184" s="9" t="s">
        <v>318</v>
      </c>
      <c r="J184" s="187"/>
      <c r="K184" s="9" t="s">
        <v>318</v>
      </c>
      <c r="L184" s="193">
        <f t="shared" si="0"/>
        <v>0</v>
      </c>
      <c r="M184" s="165" t="s">
        <v>359</v>
      </c>
      <c r="R184" s="6"/>
    </row>
    <row r="185" spans="1:18" ht="13.8">
      <c r="B185" s="28" t="s">
        <v>45</v>
      </c>
      <c r="H185" s="186"/>
      <c r="I185" s="9" t="s">
        <v>318</v>
      </c>
      <c r="J185" s="187"/>
      <c r="K185" s="9" t="s">
        <v>318</v>
      </c>
      <c r="L185" s="193">
        <f t="shared" si="0"/>
        <v>0</v>
      </c>
      <c r="M185" s="165" t="s">
        <v>360</v>
      </c>
      <c r="R185" s="6"/>
    </row>
    <row r="186" spans="1:18" ht="13.8">
      <c r="B186" s="64" t="s">
        <v>319</v>
      </c>
      <c r="H186" s="186"/>
      <c r="I186" s="9" t="s">
        <v>318</v>
      </c>
      <c r="J186" s="187"/>
      <c r="K186" s="9" t="s">
        <v>318</v>
      </c>
      <c r="L186" s="193">
        <f t="shared" si="0"/>
        <v>0</v>
      </c>
      <c r="M186" s="165" t="s">
        <v>361</v>
      </c>
      <c r="R186" s="6"/>
    </row>
    <row r="187" spans="1:18" ht="13.8">
      <c r="B187" s="65" t="s">
        <v>320</v>
      </c>
      <c r="H187" s="186"/>
      <c r="I187" s="9" t="s">
        <v>318</v>
      </c>
      <c r="J187" s="187"/>
      <c r="K187" s="9" t="s">
        <v>318</v>
      </c>
      <c r="L187" s="193">
        <f t="shared" si="0"/>
        <v>0</v>
      </c>
      <c r="M187" s="165" t="s">
        <v>362</v>
      </c>
      <c r="R187" s="6"/>
    </row>
    <row r="188" spans="1:18" ht="13.8">
      <c r="B188" s="61" t="s">
        <v>321</v>
      </c>
      <c r="H188" s="186"/>
      <c r="I188" s="9" t="s">
        <v>318</v>
      </c>
      <c r="J188" s="187"/>
      <c r="K188" s="9" t="s">
        <v>318</v>
      </c>
      <c r="L188" s="193">
        <f t="shared" si="0"/>
        <v>0</v>
      </c>
      <c r="M188" s="165" t="s">
        <v>363</v>
      </c>
      <c r="R188" s="6"/>
    </row>
    <row r="189" spans="1:18" ht="13.8">
      <c r="B189" s="28" t="s">
        <v>46</v>
      </c>
      <c r="H189" s="186"/>
      <c r="I189" s="9" t="s">
        <v>318</v>
      </c>
      <c r="J189" s="187"/>
      <c r="K189" s="9" t="s">
        <v>318</v>
      </c>
      <c r="L189" s="193">
        <f t="shared" si="0"/>
        <v>0</v>
      </c>
      <c r="M189" s="165" t="s">
        <v>364</v>
      </c>
      <c r="R189" s="6"/>
    </row>
    <row r="190" spans="1:18" ht="13.8">
      <c r="B190" s="28" t="s">
        <v>43</v>
      </c>
      <c r="H190" s="186"/>
      <c r="I190" s="9" t="s">
        <v>318</v>
      </c>
      <c r="J190" s="187"/>
      <c r="K190" s="9" t="s">
        <v>318</v>
      </c>
      <c r="L190" s="193">
        <f t="shared" si="0"/>
        <v>0</v>
      </c>
      <c r="M190" s="165" t="s">
        <v>365</v>
      </c>
      <c r="R190" s="6"/>
    </row>
    <row r="191" spans="1:18" ht="13.8">
      <c r="B191" s="28" t="s">
        <v>322</v>
      </c>
      <c r="H191" s="186"/>
      <c r="I191" s="9" t="s">
        <v>318</v>
      </c>
      <c r="J191" s="187"/>
      <c r="K191" s="9" t="s">
        <v>318</v>
      </c>
      <c r="L191" s="193">
        <f t="shared" si="0"/>
        <v>0</v>
      </c>
      <c r="M191" s="165" t="s">
        <v>366</v>
      </c>
      <c r="R191" s="6"/>
    </row>
    <row r="192" spans="1:18" ht="6" customHeight="1">
      <c r="B192" s="28"/>
      <c r="H192" s="80"/>
      <c r="R192" s="6"/>
    </row>
    <row r="193" spans="1:18">
      <c r="A193" s="26" t="s">
        <v>65</v>
      </c>
      <c r="B193" s="32" t="s">
        <v>73</v>
      </c>
      <c r="H193" s="140"/>
      <c r="I193" s="141" t="s">
        <v>317</v>
      </c>
      <c r="J193" s="63"/>
      <c r="R193" s="6"/>
    </row>
    <row r="194" spans="1:18" ht="6" customHeight="1">
      <c r="B194" s="28"/>
      <c r="H194" s="80"/>
      <c r="R194" s="6"/>
    </row>
    <row r="195" spans="1:18">
      <c r="A195" s="26" t="s">
        <v>259</v>
      </c>
      <c r="B195" s="28" t="s">
        <v>323</v>
      </c>
      <c r="G195" s="48"/>
      <c r="H195" s="192"/>
      <c r="I195" s="28" t="s">
        <v>393</v>
      </c>
      <c r="R195" s="6"/>
    </row>
    <row r="196" spans="1:18" ht="6" customHeight="1">
      <c r="A196" s="26"/>
      <c r="B196" s="28"/>
      <c r="G196" s="48"/>
      <c r="H196" s="188"/>
      <c r="I196" s="28"/>
      <c r="R196" s="6"/>
    </row>
    <row r="197" spans="1:18">
      <c r="A197" s="26" t="s">
        <v>260</v>
      </c>
      <c r="B197" s="1" t="s">
        <v>435</v>
      </c>
      <c r="G197" s="48"/>
      <c r="H197" s="188"/>
      <c r="I197" s="28"/>
      <c r="J197" s="184"/>
      <c r="K197" s="10" t="s">
        <v>436</v>
      </c>
      <c r="R197" s="6"/>
    </row>
    <row r="198" spans="1:18" ht="6" customHeight="1">
      <c r="B198" s="28"/>
      <c r="H198" s="80"/>
      <c r="R198" s="6"/>
    </row>
    <row r="199" spans="1:18">
      <c r="A199" s="26" t="s">
        <v>261</v>
      </c>
      <c r="B199" s="66" t="s">
        <v>324</v>
      </c>
      <c r="H199" s="143"/>
      <c r="I199" s="28" t="s">
        <v>394</v>
      </c>
      <c r="R199" s="6"/>
    </row>
    <row r="200" spans="1:18" ht="6" customHeight="1">
      <c r="B200" s="28"/>
      <c r="H200" s="80"/>
      <c r="R200" s="6"/>
    </row>
    <row r="201" spans="1:18" ht="12.75" customHeight="1">
      <c r="A201" s="26" t="s">
        <v>262</v>
      </c>
      <c r="B201" s="137" t="s">
        <v>326</v>
      </c>
      <c r="I201" s="145" t="s">
        <v>80</v>
      </c>
      <c r="J201" s="166"/>
      <c r="R201" s="6"/>
    </row>
    <row r="202" spans="1:18" ht="13.8">
      <c r="B202" s="152" t="s">
        <v>367</v>
      </c>
      <c r="H202" s="80"/>
      <c r="R202" s="6"/>
    </row>
    <row r="203" spans="1:18" ht="6" customHeight="1">
      <c r="B203" s="28"/>
      <c r="H203" s="80"/>
      <c r="R203" s="6"/>
    </row>
    <row r="204" spans="1:18" ht="12.75" customHeight="1">
      <c r="A204" s="26" t="s">
        <v>263</v>
      </c>
      <c r="B204" s="137" t="s">
        <v>325</v>
      </c>
      <c r="J204" s="147"/>
      <c r="K204" s="141" t="s">
        <v>318</v>
      </c>
      <c r="R204" s="6"/>
    </row>
    <row r="205" spans="1:18" ht="6" customHeight="1">
      <c r="B205" s="28"/>
      <c r="H205" s="80"/>
      <c r="R205" s="6"/>
    </row>
    <row r="206" spans="1:18">
      <c r="A206" s="26" t="s">
        <v>264</v>
      </c>
      <c r="B206" s="27" t="s">
        <v>327</v>
      </c>
      <c r="J206" s="148"/>
      <c r="K206" s="141" t="s">
        <v>317</v>
      </c>
      <c r="R206" s="6"/>
    </row>
    <row r="207" spans="1:18">
      <c r="B207" s="28" t="s">
        <v>74</v>
      </c>
      <c r="H207" s="80"/>
      <c r="R207" s="6"/>
    </row>
    <row r="208" spans="1:18" ht="6" customHeight="1">
      <c r="B208" s="28"/>
      <c r="H208" s="80"/>
      <c r="R208" s="6"/>
    </row>
    <row r="209" spans="1:18">
      <c r="A209" s="26" t="s">
        <v>278</v>
      </c>
      <c r="B209" s="34" t="s">
        <v>76</v>
      </c>
      <c r="H209" s="149"/>
      <c r="I209" s="146" t="s">
        <v>328</v>
      </c>
      <c r="R209" s="6"/>
    </row>
    <row r="210" spans="1:18" ht="13.8">
      <c r="A210" s="26"/>
      <c r="B210" s="152" t="s">
        <v>368</v>
      </c>
      <c r="H210" s="63"/>
      <c r="J210" s="28"/>
      <c r="R210" s="6"/>
    </row>
    <row r="211" spans="1:18" ht="6" customHeight="1">
      <c r="A211" s="26"/>
      <c r="B211" s="66"/>
      <c r="H211" s="63"/>
      <c r="J211" s="28"/>
      <c r="R211" s="6"/>
    </row>
    <row r="212" spans="1:18">
      <c r="A212" s="26" t="s">
        <v>279</v>
      </c>
      <c r="B212" s="27" t="s">
        <v>77</v>
      </c>
      <c r="J212" s="28"/>
      <c r="R212" s="6"/>
    </row>
    <row r="213" spans="1:18" ht="13.8">
      <c r="B213" s="28" t="s">
        <v>329</v>
      </c>
      <c r="H213" s="90"/>
      <c r="I213" s="133" t="s">
        <v>345</v>
      </c>
      <c r="J213" s="28"/>
      <c r="R213" s="6"/>
    </row>
    <row r="214" spans="1:18" ht="13.8">
      <c r="B214" s="28" t="s">
        <v>78</v>
      </c>
      <c r="H214" s="47"/>
      <c r="I214" s="133" t="s">
        <v>395</v>
      </c>
      <c r="R214" s="6"/>
    </row>
    <row r="215" spans="1:18">
      <c r="B215" s="28" t="s">
        <v>79</v>
      </c>
      <c r="G215" s="48"/>
      <c r="H215" s="140"/>
      <c r="I215" s="141" t="s">
        <v>317</v>
      </c>
      <c r="R215" s="6"/>
    </row>
    <row r="216" spans="1:18" ht="13.8">
      <c r="B216" s="163" t="s">
        <v>369</v>
      </c>
      <c r="H216" s="62"/>
      <c r="R216" s="6"/>
    </row>
    <row r="217" spans="1:18">
      <c r="B217" s="28"/>
      <c r="H217" s="62"/>
      <c r="R217" s="6"/>
    </row>
    <row r="218" spans="1:18" ht="18.600000000000001">
      <c r="A218" s="49"/>
      <c r="B218" s="160" t="s">
        <v>22</v>
      </c>
      <c r="C218" s="50"/>
      <c r="D218" s="50"/>
      <c r="E218" s="50"/>
      <c r="F218" s="50"/>
      <c r="G218" s="50"/>
      <c r="H218" s="18"/>
      <c r="I218" s="50"/>
      <c r="J218" s="50"/>
      <c r="K218" s="50"/>
      <c r="L218" s="50"/>
      <c r="M218" s="50"/>
      <c r="N218" s="50"/>
      <c r="O218" s="51"/>
      <c r="P218" s="56"/>
      <c r="Q218" s="56"/>
      <c r="R218" s="6"/>
    </row>
    <row r="219" spans="1:18" ht="6" customHeight="1">
      <c r="B219" s="27"/>
      <c r="R219" s="6"/>
    </row>
    <row r="220" spans="1:18">
      <c r="B220" s="27" t="s">
        <v>115</v>
      </c>
      <c r="R220" s="6"/>
    </row>
    <row r="221" spans="1:18" ht="13.8">
      <c r="B221" s="124" t="s">
        <v>114</v>
      </c>
      <c r="L221" s="58"/>
      <c r="R221" s="6"/>
    </row>
    <row r="222" spans="1:18" ht="6" customHeight="1">
      <c r="B222" s="27"/>
      <c r="R222" s="6"/>
    </row>
    <row r="223" spans="1:18">
      <c r="A223" s="26" t="s">
        <v>280</v>
      </c>
      <c r="B223" s="72"/>
      <c r="C223" s="67" t="s">
        <v>302</v>
      </c>
      <c r="R223" s="6"/>
    </row>
    <row r="224" spans="1:18" ht="6" customHeight="1">
      <c r="B224" s="75"/>
      <c r="C224" s="67"/>
      <c r="R224" s="6"/>
    </row>
    <row r="225" spans="1:18">
      <c r="A225" s="26" t="s">
        <v>281</v>
      </c>
      <c r="B225" s="73"/>
      <c r="C225" s="67" t="s">
        <v>113</v>
      </c>
      <c r="R225" s="6"/>
    </row>
    <row r="226" spans="1:18" ht="6" customHeight="1">
      <c r="B226" s="75"/>
      <c r="C226" s="67"/>
      <c r="R226" s="6"/>
    </row>
    <row r="227" spans="1:18">
      <c r="A227" s="26" t="s">
        <v>282</v>
      </c>
      <c r="B227" s="73"/>
      <c r="C227" s="67" t="s">
        <v>116</v>
      </c>
      <c r="R227" s="6"/>
    </row>
    <row r="228" spans="1:18" ht="6" customHeight="1">
      <c r="B228" s="75"/>
      <c r="C228" s="67"/>
      <c r="R228" s="6"/>
    </row>
    <row r="229" spans="1:18">
      <c r="A229" s="26" t="s">
        <v>283</v>
      </c>
      <c r="B229" s="74"/>
      <c r="C229" s="67" t="s">
        <v>117</v>
      </c>
      <c r="R229" s="6"/>
    </row>
    <row r="230" spans="1:18" ht="6" customHeight="1">
      <c r="B230" s="10"/>
      <c r="C230" s="67"/>
      <c r="R230" s="6"/>
    </row>
    <row r="231" spans="1:18">
      <c r="A231" s="26" t="s">
        <v>284</v>
      </c>
      <c r="B231" s="60"/>
      <c r="C231" s="67" t="s">
        <v>118</v>
      </c>
      <c r="R231" s="6"/>
    </row>
    <row r="232" spans="1:18" ht="6" customHeight="1">
      <c r="B232" s="28"/>
      <c r="R232" s="6"/>
    </row>
    <row r="233" spans="1:18">
      <c r="A233" s="26" t="s">
        <v>330</v>
      </c>
      <c r="B233" s="27" t="s">
        <v>119</v>
      </c>
      <c r="R233" s="6"/>
    </row>
    <row r="234" spans="1:18" ht="18" customHeight="1">
      <c r="A234" s="26"/>
      <c r="B234" s="76" t="s">
        <v>101</v>
      </c>
      <c r="R234" s="6"/>
    </row>
    <row r="235" spans="1:18">
      <c r="B235" s="77"/>
      <c r="C235" s="28" t="s">
        <v>120</v>
      </c>
      <c r="R235" s="6"/>
    </row>
    <row r="236" spans="1:18">
      <c r="B236" s="77"/>
      <c r="C236" s="28" t="s">
        <v>121</v>
      </c>
      <c r="R236" s="6"/>
    </row>
    <row r="237" spans="1:18">
      <c r="B237" s="77"/>
      <c r="C237" s="28" t="s">
        <v>122</v>
      </c>
      <c r="R237" s="6"/>
    </row>
    <row r="238" spans="1:18">
      <c r="B238" s="77"/>
      <c r="C238" s="28" t="s">
        <v>123</v>
      </c>
      <c r="R238" s="6"/>
    </row>
    <row r="239" spans="1:18">
      <c r="B239" s="77"/>
      <c r="C239" s="28" t="s">
        <v>124</v>
      </c>
      <c r="R239" s="6"/>
    </row>
    <row r="240" spans="1:18">
      <c r="B240" s="77"/>
      <c r="C240" s="28" t="s">
        <v>125</v>
      </c>
      <c r="R240" s="6"/>
    </row>
    <row r="241" spans="1:18">
      <c r="B241" s="77"/>
      <c r="C241" s="28" t="s">
        <v>126</v>
      </c>
      <c r="R241" s="6"/>
    </row>
    <row r="242" spans="1:18">
      <c r="B242" s="77"/>
      <c r="C242" s="28" t="s">
        <v>127</v>
      </c>
      <c r="R242" s="6"/>
    </row>
    <row r="243" spans="1:18">
      <c r="B243" s="77"/>
      <c r="C243" s="28" t="s">
        <v>128</v>
      </c>
      <c r="R243" s="6"/>
    </row>
    <row r="244" spans="1:18">
      <c r="B244" s="77"/>
      <c r="C244" s="28" t="s">
        <v>129</v>
      </c>
      <c r="R244" s="6"/>
    </row>
    <row r="245" spans="1:18">
      <c r="B245" s="28"/>
      <c r="R245" s="6"/>
    </row>
    <row r="246" spans="1:18" ht="18.600000000000001">
      <c r="A246" s="52"/>
      <c r="B246" s="160" t="s">
        <v>23</v>
      </c>
      <c r="C246" s="53"/>
      <c r="D246" s="53"/>
      <c r="E246" s="53"/>
      <c r="F246" s="53"/>
      <c r="G246" s="53"/>
      <c r="H246" s="53"/>
      <c r="I246" s="53"/>
      <c r="J246" s="53"/>
      <c r="K246" s="53"/>
      <c r="L246" s="53"/>
      <c r="M246" s="53"/>
      <c r="N246" s="53"/>
      <c r="O246" s="54"/>
      <c r="P246" s="56"/>
      <c r="Q246" s="56"/>
      <c r="R246" s="6"/>
    </row>
    <row r="247" spans="1:18" ht="6" customHeight="1">
      <c r="B247" s="27"/>
      <c r="R247" s="6"/>
    </row>
    <row r="248" spans="1:18">
      <c r="A248" s="26" t="s">
        <v>346</v>
      </c>
      <c r="B248" s="28" t="s">
        <v>130</v>
      </c>
      <c r="R248" s="6"/>
    </row>
    <row r="249" spans="1:18">
      <c r="A249" s="26"/>
      <c r="B249" s="98"/>
      <c r="C249" s="99" t="s">
        <v>285</v>
      </c>
      <c r="R249" s="6"/>
    </row>
    <row r="250" spans="1:18" ht="6" customHeight="1">
      <c r="B250" s="28"/>
      <c r="R250" s="6"/>
    </row>
    <row r="251" spans="1:18">
      <c r="A251" s="26" t="s">
        <v>331</v>
      </c>
      <c r="B251" s="98"/>
      <c r="C251" s="67" t="s">
        <v>443</v>
      </c>
      <c r="R251" s="6"/>
    </row>
    <row r="252" spans="1:18">
      <c r="B252" s="28"/>
      <c r="C252" s="99" t="s">
        <v>444</v>
      </c>
      <c r="R252" s="6"/>
    </row>
    <row r="253" spans="1:18" ht="6" customHeight="1">
      <c r="B253" s="28"/>
      <c r="R253" s="6"/>
    </row>
    <row r="254" spans="1:18" ht="13.8">
      <c r="B254" s="125" t="s">
        <v>303</v>
      </c>
      <c r="R254" s="6"/>
    </row>
    <row r="255" spans="1:18">
      <c r="A255" s="26" t="s">
        <v>332</v>
      </c>
      <c r="B255" s="98"/>
      <c r="C255" s="67" t="s">
        <v>286</v>
      </c>
      <c r="R255" s="6"/>
    </row>
    <row r="256" spans="1:18">
      <c r="A256" s="26" t="s">
        <v>347</v>
      </c>
      <c r="B256" s="98"/>
      <c r="C256" s="67" t="s">
        <v>287</v>
      </c>
      <c r="R256" s="6"/>
    </row>
    <row r="257" spans="1:33">
      <c r="A257" s="26" t="s">
        <v>439</v>
      </c>
      <c r="B257" s="98"/>
      <c r="C257" s="67" t="s">
        <v>290</v>
      </c>
      <c r="R257" s="6"/>
    </row>
    <row r="258" spans="1:33" ht="6" customHeight="1">
      <c r="B258" s="28"/>
      <c r="R258" s="6"/>
    </row>
    <row r="259" spans="1:33" ht="13.8">
      <c r="A259" s="126" t="s">
        <v>304</v>
      </c>
      <c r="R259" s="6"/>
    </row>
    <row r="260" spans="1:33">
      <c r="A260" s="26" t="s">
        <v>440</v>
      </c>
      <c r="B260" s="98"/>
      <c r="C260" s="67" t="s">
        <v>288</v>
      </c>
      <c r="R260" s="6"/>
    </row>
    <row r="261" spans="1:33">
      <c r="A261" s="26" t="s">
        <v>441</v>
      </c>
      <c r="B261" s="98"/>
      <c r="C261" s="67" t="s">
        <v>289</v>
      </c>
      <c r="R261" s="6"/>
    </row>
    <row r="262" spans="1:33">
      <c r="B262" s="28"/>
      <c r="R262" s="6"/>
    </row>
    <row r="263" spans="1:33" s="113" customFormat="1">
      <c r="A263" s="119"/>
      <c r="B263" s="120"/>
      <c r="C263" s="121"/>
      <c r="D263" s="121"/>
      <c r="E263" s="121"/>
      <c r="F263" s="121"/>
      <c r="G263" s="121"/>
      <c r="H263" s="121"/>
      <c r="I263" s="121"/>
      <c r="J263" s="121"/>
      <c r="K263" s="121"/>
      <c r="L263" s="121"/>
      <c r="M263" s="121"/>
      <c r="N263" s="121"/>
      <c r="O263" s="114"/>
      <c r="P263" s="114"/>
      <c r="Q263" s="114"/>
      <c r="S263" s="114"/>
      <c r="T263" s="114"/>
      <c r="U263" s="114"/>
      <c r="V263" s="114"/>
      <c r="W263" s="114"/>
      <c r="X263" s="114"/>
      <c r="Y263" s="114"/>
      <c r="Z263" s="114"/>
      <c r="AA263" s="114"/>
      <c r="AB263" s="114"/>
      <c r="AC263" s="114"/>
      <c r="AD263" s="114"/>
      <c r="AE263" s="114"/>
      <c r="AF263" s="114"/>
      <c r="AG263" s="114"/>
    </row>
    <row r="264" spans="1:33" s="113" customFormat="1">
      <c r="A264" s="119"/>
      <c r="B264" s="122"/>
      <c r="C264" s="121"/>
      <c r="D264" s="121"/>
      <c r="E264" s="121"/>
      <c r="F264" s="121"/>
      <c r="G264" s="121"/>
      <c r="H264" s="121"/>
      <c r="I264" s="121"/>
      <c r="J264" s="121"/>
      <c r="K264" s="121"/>
      <c r="L264" s="121"/>
      <c r="M264" s="121"/>
      <c r="N264" s="121"/>
      <c r="O264" s="114"/>
      <c r="P264" s="114"/>
      <c r="Q264" s="114"/>
      <c r="S264" s="114"/>
      <c r="T264" s="114"/>
      <c r="U264" s="114"/>
      <c r="V264" s="114"/>
      <c r="W264" s="114"/>
      <c r="X264" s="114"/>
      <c r="Y264" s="114"/>
      <c r="Z264" s="114"/>
      <c r="AA264" s="114"/>
      <c r="AB264" s="114"/>
      <c r="AC264" s="114"/>
      <c r="AD264" s="114"/>
      <c r="AE264" s="114"/>
      <c r="AF264" s="114"/>
      <c r="AG264" s="114"/>
    </row>
    <row r="265" spans="1:33" s="113" customFormat="1">
      <c r="A265" s="119"/>
      <c r="B265" s="122"/>
      <c r="C265" s="121"/>
      <c r="D265" s="121"/>
      <c r="E265" s="121"/>
      <c r="F265" s="121"/>
      <c r="G265" s="121"/>
      <c r="H265" s="121"/>
      <c r="I265" s="121"/>
      <c r="J265" s="121"/>
      <c r="K265" s="121"/>
      <c r="L265" s="121"/>
      <c r="M265" s="121"/>
      <c r="N265" s="121"/>
      <c r="O265" s="114"/>
      <c r="P265" s="114"/>
      <c r="Q265" s="114"/>
      <c r="S265" s="114"/>
      <c r="T265" s="114"/>
      <c r="U265" s="114"/>
      <c r="V265" s="114"/>
      <c r="W265" s="114"/>
      <c r="X265" s="114"/>
      <c r="Y265" s="114"/>
      <c r="Z265" s="114"/>
      <c r="AA265" s="114"/>
      <c r="AB265" s="114"/>
      <c r="AC265" s="114"/>
      <c r="AD265" s="114"/>
      <c r="AE265" s="114"/>
      <c r="AF265" s="114"/>
      <c r="AG265" s="114"/>
    </row>
    <row r="266" spans="1:33" s="113" customFormat="1">
      <c r="A266" s="119"/>
      <c r="B266" s="122"/>
      <c r="C266" s="121"/>
      <c r="D266" s="121"/>
      <c r="E266" s="121"/>
      <c r="F266" s="121"/>
      <c r="G266" s="121"/>
      <c r="H266" s="121"/>
      <c r="I266" s="121"/>
      <c r="J266" s="121"/>
      <c r="K266" s="121"/>
      <c r="L266" s="121"/>
      <c r="M266" s="121"/>
      <c r="N266" s="121"/>
      <c r="O266" s="114"/>
      <c r="P266" s="114"/>
      <c r="Q266" s="114"/>
      <c r="S266" s="114"/>
      <c r="T266" s="114"/>
      <c r="U266" s="114"/>
      <c r="V266" s="114"/>
      <c r="W266" s="114"/>
      <c r="X266" s="114"/>
      <c r="Y266" s="114"/>
      <c r="Z266" s="114"/>
      <c r="AA266" s="114"/>
      <c r="AB266" s="114"/>
      <c r="AC266" s="114"/>
      <c r="AD266" s="114"/>
      <c r="AE266" s="114"/>
      <c r="AF266" s="114"/>
      <c r="AG266" s="114"/>
    </row>
    <row r="267" spans="1:33" s="113" customFormat="1">
      <c r="A267" s="119"/>
      <c r="B267" s="122"/>
      <c r="C267" s="121"/>
      <c r="D267" s="121"/>
      <c r="E267" s="121"/>
      <c r="F267" s="121"/>
      <c r="G267" s="121"/>
      <c r="H267" s="121"/>
      <c r="I267" s="121"/>
      <c r="J267" s="121"/>
      <c r="K267" s="121"/>
      <c r="L267" s="121"/>
      <c r="M267" s="121"/>
      <c r="N267" s="121"/>
      <c r="O267" s="114"/>
      <c r="P267" s="114"/>
      <c r="Q267" s="114"/>
      <c r="S267" s="114"/>
      <c r="T267" s="114"/>
      <c r="U267" s="114"/>
      <c r="V267" s="114"/>
      <c r="W267" s="114"/>
      <c r="X267" s="114"/>
      <c r="Y267" s="114"/>
      <c r="Z267" s="114"/>
      <c r="AA267" s="114"/>
      <c r="AB267" s="114"/>
      <c r="AC267" s="114"/>
      <c r="AD267" s="114"/>
      <c r="AE267" s="114"/>
      <c r="AF267" s="114"/>
      <c r="AG267" s="114"/>
    </row>
    <row r="268" spans="1:33" s="113" customFormat="1">
      <c r="A268" s="119"/>
      <c r="B268" s="122"/>
      <c r="C268" s="121"/>
      <c r="D268" s="121"/>
      <c r="E268" s="121"/>
      <c r="F268" s="121"/>
      <c r="G268" s="121"/>
      <c r="H268" s="121"/>
      <c r="I268" s="121"/>
      <c r="J268" s="121"/>
      <c r="K268" s="121"/>
      <c r="L268" s="121"/>
      <c r="M268" s="121"/>
      <c r="N268" s="121"/>
      <c r="O268" s="114"/>
      <c r="P268" s="114"/>
      <c r="Q268" s="114"/>
      <c r="S268" s="114"/>
      <c r="T268" s="114"/>
      <c r="U268" s="114"/>
      <c r="V268" s="114"/>
      <c r="W268" s="114"/>
      <c r="X268" s="114"/>
      <c r="Y268" s="114"/>
      <c r="Z268" s="114"/>
      <c r="AA268" s="114"/>
      <c r="AB268" s="114"/>
      <c r="AC268" s="114"/>
      <c r="AD268" s="114"/>
      <c r="AE268" s="114"/>
      <c r="AF268" s="114"/>
      <c r="AG268" s="114"/>
    </row>
    <row r="269" spans="1:33" s="113" customFormat="1">
      <c r="A269" s="119"/>
      <c r="B269" s="122"/>
      <c r="C269" s="121"/>
      <c r="D269" s="121"/>
      <c r="E269" s="121"/>
      <c r="F269" s="121"/>
      <c r="G269" s="121"/>
      <c r="H269" s="121"/>
      <c r="I269" s="121"/>
      <c r="J269" s="121"/>
      <c r="K269" s="121"/>
      <c r="L269" s="121"/>
      <c r="M269" s="121"/>
      <c r="N269" s="121"/>
      <c r="O269" s="114"/>
      <c r="P269" s="114"/>
      <c r="Q269" s="114"/>
      <c r="S269" s="114"/>
      <c r="T269" s="114"/>
      <c r="U269" s="114"/>
      <c r="V269" s="114"/>
      <c r="W269" s="114"/>
      <c r="X269" s="114"/>
      <c r="Y269" s="114"/>
      <c r="Z269" s="114"/>
      <c r="AA269" s="114"/>
      <c r="AB269" s="114"/>
      <c r="AC269" s="114"/>
      <c r="AD269" s="114"/>
      <c r="AE269" s="114"/>
      <c r="AF269" s="114"/>
      <c r="AG269" s="114"/>
    </row>
    <row r="270" spans="1:33" s="113" customFormat="1">
      <c r="A270" s="119"/>
      <c r="B270" s="122"/>
      <c r="C270" s="121"/>
      <c r="D270" s="121"/>
      <c r="E270" s="121"/>
      <c r="F270" s="121"/>
      <c r="G270" s="121"/>
      <c r="H270" s="121"/>
      <c r="I270" s="121"/>
      <c r="J270" s="121"/>
      <c r="K270" s="121"/>
      <c r="L270" s="121"/>
      <c r="M270" s="121"/>
      <c r="N270" s="121"/>
      <c r="O270" s="114"/>
      <c r="P270" s="114"/>
      <c r="Q270" s="114"/>
      <c r="S270" s="114"/>
      <c r="T270" s="114"/>
      <c r="U270" s="114"/>
      <c r="V270" s="114"/>
      <c r="W270" s="114"/>
      <c r="X270" s="114"/>
      <c r="Y270" s="114"/>
      <c r="Z270" s="114"/>
      <c r="AA270" s="114"/>
      <c r="AB270" s="114"/>
      <c r="AC270" s="114"/>
      <c r="AD270" s="114"/>
      <c r="AE270" s="114"/>
      <c r="AF270" s="114"/>
      <c r="AG270" s="114"/>
    </row>
    <row r="271" spans="1:33" s="113" customFormat="1">
      <c r="A271" s="119"/>
      <c r="B271" s="122"/>
      <c r="C271" s="121"/>
      <c r="D271" s="121"/>
      <c r="E271" s="121"/>
      <c r="F271" s="121"/>
      <c r="G271" s="121"/>
      <c r="H271" s="121"/>
      <c r="I271" s="121"/>
      <c r="J271" s="121"/>
      <c r="K271" s="121"/>
      <c r="L271" s="121"/>
      <c r="M271" s="121"/>
      <c r="N271" s="121"/>
      <c r="O271" s="114"/>
      <c r="P271" s="114"/>
      <c r="Q271" s="114"/>
      <c r="S271" s="114"/>
      <c r="T271" s="114"/>
      <c r="U271" s="114"/>
      <c r="V271" s="114"/>
      <c r="W271" s="114"/>
      <c r="X271" s="114"/>
      <c r="Y271" s="114"/>
      <c r="Z271" s="114"/>
      <c r="AA271" s="114"/>
      <c r="AB271" s="114"/>
      <c r="AC271" s="114"/>
      <c r="AD271" s="114"/>
      <c r="AE271" s="114"/>
      <c r="AF271" s="114"/>
      <c r="AG271" s="114"/>
    </row>
    <row r="272" spans="1:33" s="113" customFormat="1">
      <c r="A272" s="119"/>
      <c r="B272" s="122"/>
      <c r="C272" s="121"/>
      <c r="D272" s="121"/>
      <c r="E272" s="121"/>
      <c r="F272" s="121"/>
      <c r="G272" s="121"/>
      <c r="H272" s="121"/>
      <c r="I272" s="121"/>
      <c r="J272" s="121"/>
      <c r="K272" s="121"/>
      <c r="L272" s="121"/>
      <c r="M272" s="121"/>
      <c r="N272" s="121"/>
      <c r="O272" s="114"/>
      <c r="P272" s="114"/>
      <c r="Q272" s="114"/>
      <c r="S272" s="114"/>
      <c r="T272" s="114"/>
      <c r="U272" s="114"/>
      <c r="V272" s="114"/>
      <c r="W272" s="114"/>
      <c r="X272" s="114"/>
      <c r="Y272" s="114"/>
      <c r="Z272" s="114"/>
      <c r="AA272" s="114"/>
      <c r="AB272" s="114"/>
      <c r="AC272" s="114"/>
      <c r="AD272" s="114"/>
      <c r="AE272" s="114"/>
      <c r="AF272" s="114"/>
      <c r="AG272" s="114"/>
    </row>
    <row r="273" spans="1:33" s="113" customFormat="1">
      <c r="A273" s="119"/>
      <c r="B273" s="122"/>
      <c r="C273" s="121"/>
      <c r="D273" s="121"/>
      <c r="E273" s="121"/>
      <c r="F273" s="121"/>
      <c r="G273" s="121"/>
      <c r="H273" s="121"/>
      <c r="I273" s="121"/>
      <c r="J273" s="121"/>
      <c r="K273" s="121"/>
      <c r="L273" s="121"/>
      <c r="M273" s="121"/>
      <c r="N273" s="121"/>
      <c r="O273" s="114"/>
      <c r="P273" s="114"/>
      <c r="Q273" s="114"/>
      <c r="S273" s="114"/>
      <c r="T273" s="114"/>
      <c r="U273" s="114"/>
      <c r="V273" s="114"/>
      <c r="W273" s="114"/>
      <c r="X273" s="114"/>
      <c r="Y273" s="114"/>
      <c r="Z273" s="114"/>
      <c r="AA273" s="114"/>
      <c r="AB273" s="114"/>
      <c r="AC273" s="114"/>
      <c r="AD273" s="114"/>
      <c r="AE273" s="114"/>
      <c r="AF273" s="114"/>
      <c r="AG273" s="114"/>
    </row>
    <row r="274" spans="1:33" s="113" customFormat="1">
      <c r="A274" s="119"/>
      <c r="B274" s="122"/>
      <c r="C274" s="121"/>
      <c r="D274" s="121"/>
      <c r="E274" s="121"/>
      <c r="F274" s="121"/>
      <c r="G274" s="121"/>
      <c r="H274" s="121"/>
      <c r="I274" s="121"/>
      <c r="J274" s="121"/>
      <c r="K274" s="121"/>
      <c r="L274" s="121"/>
      <c r="M274" s="121"/>
      <c r="N274" s="121"/>
      <c r="O274" s="114"/>
      <c r="P274" s="114"/>
      <c r="Q274" s="114"/>
      <c r="S274" s="114"/>
      <c r="T274" s="114"/>
      <c r="U274" s="114"/>
      <c r="V274" s="114"/>
      <c r="W274" s="114"/>
      <c r="X274" s="114"/>
      <c r="Y274" s="114"/>
      <c r="Z274" s="114"/>
      <c r="AA274" s="114"/>
      <c r="AB274" s="114"/>
      <c r="AC274" s="114"/>
      <c r="AD274" s="114"/>
      <c r="AE274" s="114"/>
      <c r="AF274" s="114"/>
      <c r="AG274" s="114"/>
    </row>
    <row r="275" spans="1:33" s="113" customFormat="1">
      <c r="A275" s="119"/>
      <c r="B275" s="122"/>
      <c r="C275" s="121"/>
      <c r="D275" s="121"/>
      <c r="E275" s="121"/>
      <c r="F275" s="121"/>
      <c r="G275" s="121"/>
      <c r="H275" s="121"/>
      <c r="I275" s="121"/>
      <c r="J275" s="121"/>
      <c r="K275" s="121"/>
      <c r="L275" s="121"/>
      <c r="M275" s="121"/>
      <c r="N275" s="121"/>
      <c r="O275" s="114"/>
      <c r="P275" s="114"/>
      <c r="Q275" s="114"/>
      <c r="S275" s="114"/>
      <c r="T275" s="114"/>
      <c r="U275" s="114"/>
      <c r="V275" s="114"/>
      <c r="W275" s="114"/>
      <c r="X275" s="114"/>
      <c r="Y275" s="114"/>
      <c r="Z275" s="114"/>
      <c r="AA275" s="114"/>
      <c r="AB275" s="114"/>
      <c r="AC275" s="114"/>
      <c r="AD275" s="114"/>
      <c r="AE275" s="114"/>
      <c r="AF275" s="114"/>
      <c r="AG275" s="114"/>
    </row>
    <row r="276" spans="1:33" s="113" customFormat="1">
      <c r="A276" s="119"/>
      <c r="B276" s="122"/>
      <c r="C276" s="121"/>
      <c r="D276" s="121"/>
      <c r="E276" s="121"/>
      <c r="F276" s="121"/>
      <c r="G276" s="121"/>
      <c r="H276" s="121"/>
      <c r="I276" s="121"/>
      <c r="J276" s="121"/>
      <c r="K276" s="121"/>
      <c r="L276" s="121"/>
      <c r="M276" s="121"/>
      <c r="N276" s="121"/>
      <c r="O276" s="114"/>
      <c r="P276" s="114"/>
      <c r="Q276" s="114"/>
      <c r="S276" s="114"/>
      <c r="T276" s="114"/>
      <c r="U276" s="114"/>
      <c r="V276" s="114"/>
      <c r="W276" s="114"/>
      <c r="X276" s="114"/>
      <c r="Y276" s="114"/>
      <c r="Z276" s="114"/>
      <c r="AA276" s="114"/>
      <c r="AB276" s="114"/>
      <c r="AC276" s="114"/>
      <c r="AD276" s="114"/>
      <c r="AE276" s="114"/>
      <c r="AF276" s="114"/>
      <c r="AG276" s="114"/>
    </row>
    <row r="277" spans="1:33" s="113" customFormat="1">
      <c r="A277" s="119"/>
      <c r="B277" s="122"/>
      <c r="C277" s="121"/>
      <c r="D277" s="121"/>
      <c r="E277" s="121"/>
      <c r="F277" s="121"/>
      <c r="G277" s="121"/>
      <c r="H277" s="121"/>
      <c r="I277" s="121"/>
      <c r="J277" s="121"/>
      <c r="K277" s="121"/>
      <c r="L277" s="121"/>
      <c r="M277" s="121"/>
      <c r="N277" s="121"/>
      <c r="O277" s="114"/>
      <c r="P277" s="114"/>
      <c r="Q277" s="114"/>
      <c r="S277" s="114"/>
      <c r="T277" s="114"/>
      <c r="U277" s="114"/>
      <c r="V277" s="114"/>
      <c r="W277" s="114"/>
      <c r="X277" s="114"/>
      <c r="Y277" s="114"/>
      <c r="Z277" s="114"/>
      <c r="AA277" s="114"/>
      <c r="AB277" s="114"/>
      <c r="AC277" s="114"/>
      <c r="AD277" s="114"/>
      <c r="AE277" s="114"/>
      <c r="AF277" s="114"/>
      <c r="AG277" s="114"/>
    </row>
    <row r="278" spans="1:33" s="113" customFormat="1">
      <c r="A278" s="119"/>
      <c r="B278" s="122"/>
      <c r="C278" s="121"/>
      <c r="D278" s="121"/>
      <c r="E278" s="121"/>
      <c r="F278" s="121"/>
      <c r="G278" s="121"/>
      <c r="H278" s="121"/>
      <c r="I278" s="121"/>
      <c r="J278" s="121"/>
      <c r="K278" s="121"/>
      <c r="L278" s="121"/>
      <c r="M278" s="121"/>
      <c r="N278" s="121"/>
      <c r="O278" s="114"/>
      <c r="P278" s="114"/>
      <c r="Q278" s="114"/>
      <c r="S278" s="114"/>
      <c r="T278" s="114"/>
      <c r="U278" s="114"/>
      <c r="V278" s="114"/>
      <c r="W278" s="114"/>
      <c r="X278" s="114"/>
      <c r="Y278" s="114"/>
      <c r="Z278" s="114"/>
      <c r="AA278" s="114"/>
      <c r="AB278" s="114"/>
      <c r="AC278" s="114"/>
      <c r="AD278" s="114"/>
      <c r="AE278" s="114"/>
      <c r="AF278" s="114"/>
      <c r="AG278" s="114"/>
    </row>
    <row r="279" spans="1:33" s="113" customFormat="1">
      <c r="A279" s="119"/>
      <c r="B279" s="122"/>
      <c r="C279" s="121"/>
      <c r="D279" s="121"/>
      <c r="E279" s="121"/>
      <c r="F279" s="121"/>
      <c r="G279" s="121"/>
      <c r="H279" s="121"/>
      <c r="I279" s="121"/>
      <c r="J279" s="121"/>
      <c r="K279" s="121"/>
      <c r="L279" s="121"/>
      <c r="M279" s="121"/>
      <c r="N279" s="121"/>
      <c r="O279" s="114"/>
      <c r="P279" s="114"/>
      <c r="Q279" s="114"/>
      <c r="S279" s="114"/>
      <c r="T279" s="114"/>
      <c r="U279" s="114"/>
      <c r="V279" s="114"/>
      <c r="W279" s="114"/>
      <c r="X279" s="114"/>
      <c r="Y279" s="114"/>
      <c r="Z279" s="114"/>
      <c r="AA279" s="114"/>
      <c r="AB279" s="114"/>
      <c r="AC279" s="114"/>
      <c r="AD279" s="114"/>
      <c r="AE279" s="114"/>
      <c r="AF279" s="114"/>
      <c r="AG279" s="114"/>
    </row>
    <row r="280" spans="1:33" s="113" customFormat="1">
      <c r="A280" s="119"/>
      <c r="B280" s="122"/>
      <c r="C280" s="121"/>
      <c r="D280" s="121"/>
      <c r="E280" s="121"/>
      <c r="F280" s="121"/>
      <c r="G280" s="121"/>
      <c r="H280" s="121"/>
      <c r="I280" s="121"/>
      <c r="J280" s="121"/>
      <c r="K280" s="121"/>
      <c r="L280" s="121"/>
      <c r="M280" s="121"/>
      <c r="N280" s="121"/>
      <c r="O280" s="114"/>
      <c r="P280" s="114"/>
      <c r="Q280" s="114"/>
      <c r="S280" s="114"/>
      <c r="T280" s="114"/>
      <c r="U280" s="114"/>
      <c r="V280" s="114"/>
      <c r="W280" s="114"/>
      <c r="X280" s="114"/>
      <c r="Y280" s="114"/>
      <c r="Z280" s="114"/>
      <c r="AA280" s="114"/>
      <c r="AB280" s="114"/>
      <c r="AC280" s="114"/>
      <c r="AD280" s="114"/>
      <c r="AE280" s="114"/>
      <c r="AF280" s="114"/>
      <c r="AG280" s="114"/>
    </row>
    <row r="281" spans="1:33" s="113" customFormat="1">
      <c r="A281" s="119"/>
      <c r="B281" s="122"/>
      <c r="C281" s="121"/>
      <c r="D281" s="121"/>
      <c r="E281" s="121"/>
      <c r="F281" s="121"/>
      <c r="G281" s="121"/>
      <c r="H281" s="121"/>
      <c r="I281" s="121"/>
      <c r="J281" s="121"/>
      <c r="K281" s="121"/>
      <c r="L281" s="121"/>
      <c r="M281" s="121"/>
      <c r="N281" s="121"/>
      <c r="O281" s="114"/>
      <c r="P281" s="114"/>
      <c r="Q281" s="114"/>
      <c r="S281" s="114"/>
      <c r="T281" s="114"/>
      <c r="U281" s="114"/>
      <c r="V281" s="114"/>
      <c r="W281" s="114"/>
      <c r="X281" s="114"/>
      <c r="Y281" s="114"/>
      <c r="Z281" s="114"/>
      <c r="AA281" s="114"/>
      <c r="AB281" s="114"/>
      <c r="AC281" s="114"/>
      <c r="AD281" s="114"/>
      <c r="AE281" s="114"/>
      <c r="AF281" s="114"/>
      <c r="AG281" s="114"/>
    </row>
    <row r="282" spans="1:33" s="113" customFormat="1">
      <c r="A282" s="119"/>
      <c r="B282" s="122"/>
      <c r="C282" s="121"/>
      <c r="D282" s="121"/>
      <c r="E282" s="121"/>
      <c r="F282" s="121"/>
      <c r="G282" s="121"/>
      <c r="H282" s="121"/>
      <c r="I282" s="121"/>
      <c r="J282" s="121"/>
      <c r="K282" s="121"/>
      <c r="L282" s="121"/>
      <c r="M282" s="121"/>
      <c r="N282" s="121"/>
      <c r="O282" s="114"/>
      <c r="P282" s="114"/>
      <c r="Q282" s="114"/>
      <c r="S282" s="114"/>
      <c r="T282" s="114"/>
      <c r="U282" s="114"/>
      <c r="V282" s="114"/>
      <c r="W282" s="114"/>
      <c r="X282" s="114"/>
      <c r="Y282" s="114"/>
      <c r="Z282" s="114"/>
      <c r="AA282" s="114"/>
      <c r="AB282" s="114"/>
      <c r="AC282" s="114"/>
      <c r="AD282" s="114"/>
      <c r="AE282" s="114"/>
      <c r="AF282" s="114"/>
      <c r="AG282" s="114"/>
    </row>
    <row r="283" spans="1:33" s="113" customFormat="1">
      <c r="A283" s="119"/>
      <c r="B283" s="122"/>
      <c r="C283" s="121"/>
      <c r="D283" s="121"/>
      <c r="E283" s="121"/>
      <c r="F283" s="121"/>
      <c r="G283" s="121"/>
      <c r="H283" s="121"/>
      <c r="I283" s="121"/>
      <c r="J283" s="121"/>
      <c r="K283" s="121"/>
      <c r="L283" s="121"/>
      <c r="M283" s="121"/>
      <c r="N283" s="121"/>
      <c r="O283" s="114"/>
      <c r="P283" s="114"/>
      <c r="Q283" s="114"/>
      <c r="S283" s="114"/>
      <c r="T283" s="114"/>
      <c r="U283" s="114"/>
      <c r="V283" s="114"/>
      <c r="W283" s="114"/>
      <c r="X283" s="114"/>
      <c r="Y283" s="114"/>
      <c r="Z283" s="114"/>
      <c r="AA283" s="114"/>
      <c r="AB283" s="114"/>
      <c r="AC283" s="114"/>
      <c r="AD283" s="114"/>
      <c r="AE283" s="114"/>
      <c r="AF283" s="114"/>
      <c r="AG283" s="114"/>
    </row>
    <row r="284" spans="1:33" s="113" customFormat="1">
      <c r="A284" s="119"/>
      <c r="B284" s="122"/>
      <c r="C284" s="121"/>
      <c r="D284" s="121"/>
      <c r="E284" s="121"/>
      <c r="F284" s="121"/>
      <c r="G284" s="121"/>
      <c r="H284" s="121"/>
      <c r="I284" s="121"/>
      <c r="J284" s="121"/>
      <c r="K284" s="121"/>
      <c r="L284" s="121"/>
      <c r="M284" s="121"/>
      <c r="N284" s="121"/>
      <c r="O284" s="114"/>
      <c r="P284" s="114"/>
      <c r="Q284" s="114"/>
      <c r="S284" s="114"/>
      <c r="T284" s="114"/>
      <c r="U284" s="114"/>
      <c r="V284" s="114"/>
      <c r="W284" s="114"/>
      <c r="X284" s="114"/>
      <c r="Y284" s="114"/>
      <c r="Z284" s="114"/>
      <c r="AA284" s="114"/>
      <c r="AB284" s="114"/>
      <c r="AC284" s="114"/>
      <c r="AD284" s="114"/>
      <c r="AE284" s="114"/>
      <c r="AF284" s="114"/>
      <c r="AG284" s="114"/>
    </row>
    <row r="285" spans="1:33" s="113" customFormat="1">
      <c r="A285" s="119"/>
      <c r="B285" s="122"/>
      <c r="C285" s="121"/>
      <c r="D285" s="121"/>
      <c r="E285" s="121"/>
      <c r="F285" s="121"/>
      <c r="G285" s="121"/>
      <c r="H285" s="121"/>
      <c r="I285" s="121"/>
      <c r="J285" s="121"/>
      <c r="K285" s="121"/>
      <c r="L285" s="121"/>
      <c r="M285" s="121"/>
      <c r="N285" s="121"/>
      <c r="O285" s="114"/>
      <c r="P285" s="114"/>
      <c r="Q285" s="114"/>
      <c r="S285" s="114"/>
      <c r="T285" s="114"/>
      <c r="U285" s="114"/>
      <c r="V285" s="114"/>
      <c r="W285" s="114"/>
      <c r="X285" s="114"/>
      <c r="Y285" s="114"/>
      <c r="Z285" s="114"/>
      <c r="AA285" s="114"/>
      <c r="AB285" s="114"/>
      <c r="AC285" s="114"/>
      <c r="AD285" s="114"/>
      <c r="AE285" s="114"/>
      <c r="AF285" s="114"/>
      <c r="AG285" s="114"/>
    </row>
    <row r="286" spans="1:33" s="113" customFormat="1">
      <c r="A286" s="119"/>
      <c r="B286" s="122"/>
      <c r="C286" s="121"/>
      <c r="D286" s="121"/>
      <c r="E286" s="121"/>
      <c r="F286" s="121"/>
      <c r="G286" s="121"/>
      <c r="H286" s="121"/>
      <c r="I286" s="121"/>
      <c r="J286" s="121"/>
      <c r="K286" s="121"/>
      <c r="L286" s="121"/>
      <c r="M286" s="121"/>
      <c r="N286" s="121"/>
      <c r="O286" s="114"/>
      <c r="P286" s="114"/>
      <c r="Q286" s="114"/>
      <c r="S286" s="114"/>
      <c r="T286" s="114"/>
      <c r="U286" s="114"/>
      <c r="V286" s="114"/>
      <c r="W286" s="114"/>
      <c r="X286" s="114"/>
      <c r="Y286" s="114"/>
      <c r="Z286" s="114"/>
      <c r="AA286" s="114"/>
      <c r="AB286" s="114"/>
      <c r="AC286" s="114"/>
      <c r="AD286" s="114"/>
      <c r="AE286" s="114"/>
      <c r="AF286" s="114"/>
      <c r="AG286" s="114"/>
    </row>
    <row r="287" spans="1:33" s="113" customFormat="1">
      <c r="A287" s="119"/>
      <c r="B287" s="122"/>
      <c r="C287" s="121"/>
      <c r="D287" s="121"/>
      <c r="E287" s="121"/>
      <c r="F287" s="121"/>
      <c r="G287" s="121"/>
      <c r="H287" s="121"/>
      <c r="I287" s="121"/>
      <c r="J287" s="121"/>
      <c r="K287" s="121"/>
      <c r="L287" s="121"/>
      <c r="M287" s="121"/>
      <c r="N287" s="121"/>
      <c r="O287" s="114"/>
      <c r="P287" s="114"/>
      <c r="Q287" s="114"/>
      <c r="S287" s="114"/>
      <c r="T287" s="114"/>
      <c r="U287" s="114"/>
      <c r="V287" s="114"/>
      <c r="W287" s="114"/>
      <c r="X287" s="114"/>
      <c r="Y287" s="114"/>
      <c r="Z287" s="114"/>
      <c r="AA287" s="114"/>
      <c r="AB287" s="114"/>
      <c r="AC287" s="114"/>
      <c r="AD287" s="114"/>
      <c r="AE287" s="114"/>
      <c r="AF287" s="114"/>
      <c r="AG287" s="114"/>
    </row>
    <row r="288" spans="1:33" s="113" customFormat="1">
      <c r="A288" s="119"/>
      <c r="B288" s="122"/>
      <c r="C288" s="121"/>
      <c r="D288" s="121"/>
      <c r="E288" s="121"/>
      <c r="F288" s="121"/>
      <c r="G288" s="121"/>
      <c r="H288" s="121"/>
      <c r="I288" s="121"/>
      <c r="J288" s="121"/>
      <c r="K288" s="121"/>
      <c r="L288" s="121"/>
      <c r="M288" s="121"/>
      <c r="N288" s="121"/>
      <c r="O288" s="114"/>
      <c r="P288" s="114"/>
      <c r="Q288" s="114"/>
      <c r="S288" s="114"/>
      <c r="T288" s="114"/>
      <c r="U288" s="114"/>
      <c r="V288" s="114"/>
      <c r="W288" s="114"/>
      <c r="X288" s="114"/>
      <c r="Y288" s="114"/>
      <c r="Z288" s="114"/>
      <c r="AA288" s="114"/>
      <c r="AB288" s="114"/>
      <c r="AC288" s="114"/>
      <c r="AD288" s="114"/>
      <c r="AE288" s="114"/>
      <c r="AF288" s="114"/>
      <c r="AG288" s="114"/>
    </row>
    <row r="289" spans="1:33" s="113" customFormat="1">
      <c r="A289" s="119"/>
      <c r="B289" s="122"/>
      <c r="C289" s="121"/>
      <c r="D289" s="121"/>
      <c r="E289" s="121"/>
      <c r="F289" s="121"/>
      <c r="G289" s="121"/>
      <c r="H289" s="121"/>
      <c r="I289" s="121"/>
      <c r="J289" s="121"/>
      <c r="K289" s="121"/>
      <c r="L289" s="121"/>
      <c r="M289" s="121"/>
      <c r="N289" s="121"/>
      <c r="O289" s="114"/>
      <c r="P289" s="114"/>
      <c r="Q289" s="114"/>
      <c r="S289" s="114"/>
      <c r="T289" s="114"/>
      <c r="U289" s="114"/>
      <c r="V289" s="114"/>
      <c r="W289" s="114"/>
      <c r="X289" s="114"/>
      <c r="Y289" s="114"/>
      <c r="Z289" s="114"/>
      <c r="AA289" s="114"/>
      <c r="AB289" s="114"/>
      <c r="AC289" s="114"/>
      <c r="AD289" s="114"/>
      <c r="AE289" s="114"/>
      <c r="AF289" s="114"/>
      <c r="AG289" s="114"/>
    </row>
    <row r="290" spans="1:33" s="113" customFormat="1">
      <c r="A290" s="119"/>
      <c r="B290" s="122"/>
      <c r="C290" s="121"/>
      <c r="D290" s="121"/>
      <c r="E290" s="121"/>
      <c r="F290" s="121"/>
      <c r="G290" s="121"/>
      <c r="H290" s="121"/>
      <c r="I290" s="121"/>
      <c r="J290" s="121"/>
      <c r="K290" s="121"/>
      <c r="L290" s="121"/>
      <c r="M290" s="121"/>
      <c r="N290" s="121"/>
      <c r="O290" s="114"/>
      <c r="P290" s="114"/>
      <c r="Q290" s="114"/>
      <c r="S290" s="114"/>
      <c r="T290" s="114"/>
      <c r="U290" s="114"/>
      <c r="V290" s="114"/>
      <c r="W290" s="114"/>
      <c r="X290" s="114"/>
      <c r="Y290" s="114"/>
      <c r="Z290" s="114"/>
      <c r="AA290" s="114"/>
      <c r="AB290" s="114"/>
      <c r="AC290" s="114"/>
      <c r="AD290" s="114"/>
      <c r="AE290" s="114"/>
      <c r="AF290" s="114"/>
      <c r="AG290" s="114"/>
    </row>
    <row r="291" spans="1:33" s="113" customFormat="1">
      <c r="A291" s="119"/>
      <c r="B291" s="122"/>
      <c r="C291" s="121"/>
      <c r="D291" s="121"/>
      <c r="E291" s="121"/>
      <c r="F291" s="121"/>
      <c r="G291" s="121"/>
      <c r="H291" s="121"/>
      <c r="I291" s="121"/>
      <c r="J291" s="121"/>
      <c r="K291" s="121"/>
      <c r="L291" s="121"/>
      <c r="M291" s="121"/>
      <c r="N291" s="121"/>
      <c r="O291" s="114"/>
      <c r="P291" s="114"/>
      <c r="Q291" s="114"/>
      <c r="S291" s="114"/>
      <c r="T291" s="114"/>
      <c r="U291" s="114"/>
      <c r="V291" s="114"/>
      <c r="W291" s="114"/>
      <c r="X291" s="114"/>
      <c r="Y291" s="114"/>
      <c r="Z291" s="114"/>
      <c r="AA291" s="114"/>
      <c r="AB291" s="114"/>
      <c r="AC291" s="114"/>
      <c r="AD291" s="114"/>
      <c r="AE291" s="114"/>
      <c r="AF291" s="114"/>
      <c r="AG291" s="114"/>
    </row>
    <row r="292" spans="1:33" s="113" customFormat="1">
      <c r="A292" s="119"/>
      <c r="B292" s="122"/>
      <c r="C292" s="121"/>
      <c r="D292" s="121"/>
      <c r="E292" s="121"/>
      <c r="F292" s="121"/>
      <c r="G292" s="121"/>
      <c r="H292" s="121"/>
      <c r="I292" s="121"/>
      <c r="J292" s="121"/>
      <c r="K292" s="121"/>
      <c r="L292" s="121"/>
      <c r="M292" s="121"/>
      <c r="N292" s="121"/>
      <c r="O292" s="114"/>
      <c r="P292" s="114"/>
      <c r="Q292" s="114"/>
      <c r="S292" s="114"/>
      <c r="T292" s="114"/>
      <c r="U292" s="114"/>
      <c r="V292" s="114"/>
      <c r="W292" s="114"/>
      <c r="X292" s="114"/>
      <c r="Y292" s="114"/>
      <c r="Z292" s="114"/>
      <c r="AA292" s="114"/>
      <c r="AB292" s="114"/>
      <c r="AC292" s="114"/>
      <c r="AD292" s="114"/>
      <c r="AE292" s="114"/>
      <c r="AF292" s="114"/>
      <c r="AG292" s="114"/>
    </row>
    <row r="293" spans="1:33" s="113" customFormat="1">
      <c r="A293" s="119"/>
      <c r="B293" s="122"/>
      <c r="C293" s="121"/>
      <c r="D293" s="121"/>
      <c r="E293" s="121"/>
      <c r="F293" s="121"/>
      <c r="G293" s="121"/>
      <c r="H293" s="121"/>
      <c r="I293" s="121"/>
      <c r="J293" s="121"/>
      <c r="K293" s="121"/>
      <c r="L293" s="121"/>
      <c r="M293" s="121"/>
      <c r="N293" s="121"/>
      <c r="O293" s="114"/>
      <c r="P293" s="114"/>
      <c r="Q293" s="114"/>
      <c r="S293" s="114"/>
      <c r="T293" s="114"/>
      <c r="U293" s="114"/>
      <c r="V293" s="114"/>
      <c r="W293" s="114"/>
      <c r="X293" s="114"/>
      <c r="Y293" s="114"/>
      <c r="Z293" s="114"/>
      <c r="AA293" s="114"/>
      <c r="AB293" s="114"/>
      <c r="AC293" s="114"/>
      <c r="AD293" s="114"/>
      <c r="AE293" s="114"/>
      <c r="AF293" s="114"/>
      <c r="AG293" s="114"/>
    </row>
    <row r="294" spans="1:33" s="113" customFormat="1">
      <c r="A294" s="119"/>
      <c r="B294" s="122"/>
      <c r="C294" s="121"/>
      <c r="D294" s="121"/>
      <c r="E294" s="121"/>
      <c r="F294" s="121"/>
      <c r="G294" s="121"/>
      <c r="H294" s="121"/>
      <c r="I294" s="121"/>
      <c r="J294" s="121"/>
      <c r="K294" s="121"/>
      <c r="L294" s="121"/>
      <c r="M294" s="121"/>
      <c r="N294" s="121"/>
      <c r="O294" s="114"/>
      <c r="P294" s="114"/>
      <c r="Q294" s="114"/>
      <c r="S294" s="114"/>
      <c r="T294" s="114"/>
      <c r="U294" s="114"/>
      <c r="V294" s="114"/>
      <c r="W294" s="114"/>
      <c r="X294" s="114"/>
      <c r="Y294" s="114"/>
      <c r="Z294" s="114"/>
      <c r="AA294" s="114"/>
      <c r="AB294" s="114"/>
      <c r="AC294" s="114"/>
      <c r="AD294" s="114"/>
      <c r="AE294" s="114"/>
      <c r="AF294" s="114"/>
      <c r="AG294" s="114"/>
    </row>
    <row r="295" spans="1:33" s="113" customFormat="1">
      <c r="A295" s="119"/>
      <c r="B295" s="122"/>
      <c r="C295" s="121"/>
      <c r="D295" s="121"/>
      <c r="E295" s="121"/>
      <c r="F295" s="121"/>
      <c r="G295" s="121"/>
      <c r="H295" s="121"/>
      <c r="I295" s="121"/>
      <c r="J295" s="121"/>
      <c r="K295" s="121"/>
      <c r="L295" s="121"/>
      <c r="M295" s="121"/>
      <c r="N295" s="121"/>
      <c r="O295" s="114"/>
      <c r="P295" s="114"/>
      <c r="Q295" s="114"/>
      <c r="S295" s="114"/>
      <c r="T295" s="114"/>
      <c r="U295" s="114"/>
      <c r="V295" s="114"/>
      <c r="W295" s="114"/>
      <c r="X295" s="114"/>
      <c r="Y295" s="114"/>
      <c r="Z295" s="114"/>
      <c r="AA295" s="114"/>
      <c r="AB295" s="114"/>
      <c r="AC295" s="114"/>
      <c r="AD295" s="114"/>
      <c r="AE295" s="114"/>
      <c r="AF295" s="114"/>
      <c r="AG295" s="114"/>
    </row>
    <row r="296" spans="1:33" s="113" customFormat="1">
      <c r="A296" s="119"/>
      <c r="B296" s="122"/>
      <c r="C296" s="121"/>
      <c r="D296" s="121"/>
      <c r="E296" s="121"/>
      <c r="F296" s="121"/>
      <c r="G296" s="121"/>
      <c r="H296" s="121"/>
      <c r="I296" s="121"/>
      <c r="J296" s="121"/>
      <c r="K296" s="121"/>
      <c r="L296" s="121"/>
      <c r="M296" s="121"/>
      <c r="N296" s="121"/>
      <c r="O296" s="114"/>
      <c r="P296" s="114"/>
      <c r="Q296" s="114"/>
      <c r="S296" s="114"/>
      <c r="T296" s="114"/>
      <c r="U296" s="114"/>
      <c r="V296" s="114"/>
      <c r="W296" s="114"/>
      <c r="X296" s="114"/>
      <c r="Y296" s="114"/>
      <c r="Z296" s="114"/>
      <c r="AA296" s="114"/>
      <c r="AB296" s="114"/>
      <c r="AC296" s="114"/>
      <c r="AD296" s="114"/>
      <c r="AE296" s="114"/>
      <c r="AF296" s="114"/>
      <c r="AG296" s="114"/>
    </row>
    <row r="297" spans="1:33" s="113" customFormat="1">
      <c r="A297" s="119"/>
      <c r="B297" s="122"/>
      <c r="C297" s="121"/>
      <c r="D297" s="121"/>
      <c r="E297" s="121"/>
      <c r="F297" s="121"/>
      <c r="G297" s="121"/>
      <c r="H297" s="121"/>
      <c r="I297" s="121"/>
      <c r="J297" s="121"/>
      <c r="K297" s="121"/>
      <c r="L297" s="121"/>
      <c r="M297" s="121"/>
      <c r="N297" s="121"/>
      <c r="O297" s="114"/>
      <c r="P297" s="114"/>
      <c r="Q297" s="114"/>
      <c r="S297" s="114"/>
      <c r="T297" s="114"/>
      <c r="U297" s="114"/>
      <c r="V297" s="114"/>
      <c r="W297" s="114"/>
      <c r="X297" s="114"/>
      <c r="Y297" s="114"/>
      <c r="Z297" s="114"/>
      <c r="AA297" s="114"/>
      <c r="AB297" s="114"/>
      <c r="AC297" s="114"/>
      <c r="AD297" s="114"/>
      <c r="AE297" s="114"/>
      <c r="AF297" s="114"/>
      <c r="AG297" s="114"/>
    </row>
    <row r="298" spans="1:33" s="113" customFormat="1">
      <c r="A298" s="119"/>
      <c r="B298" s="122"/>
      <c r="C298" s="121"/>
      <c r="D298" s="121"/>
      <c r="E298" s="121"/>
      <c r="F298" s="121"/>
      <c r="G298" s="121"/>
      <c r="H298" s="121"/>
      <c r="I298" s="121"/>
      <c r="J298" s="121"/>
      <c r="K298" s="121"/>
      <c r="L298" s="121"/>
      <c r="M298" s="121"/>
      <c r="N298" s="121"/>
      <c r="O298" s="114"/>
      <c r="P298" s="114"/>
      <c r="Q298" s="114"/>
      <c r="S298" s="114"/>
      <c r="T298" s="114"/>
      <c r="U298" s="114"/>
      <c r="V298" s="114"/>
      <c r="W298" s="114"/>
      <c r="X298" s="114"/>
      <c r="Y298" s="114"/>
      <c r="Z298" s="114"/>
      <c r="AA298" s="114"/>
      <c r="AB298" s="114"/>
      <c r="AC298" s="114"/>
      <c r="AD298" s="114"/>
      <c r="AE298" s="114"/>
      <c r="AF298" s="114"/>
      <c r="AG298" s="114"/>
    </row>
    <row r="299" spans="1:33" s="113" customFormat="1">
      <c r="A299" s="119"/>
      <c r="B299" s="122"/>
      <c r="C299" s="121"/>
      <c r="D299" s="121"/>
      <c r="E299" s="121"/>
      <c r="F299" s="121"/>
      <c r="G299" s="121"/>
      <c r="H299" s="121"/>
      <c r="I299" s="121"/>
      <c r="J299" s="121"/>
      <c r="K299" s="121"/>
      <c r="L299" s="121"/>
      <c r="M299" s="121"/>
      <c r="N299" s="121"/>
      <c r="O299" s="114"/>
      <c r="P299" s="114"/>
      <c r="Q299" s="114"/>
      <c r="S299" s="114"/>
      <c r="T299" s="114"/>
      <c r="U299" s="114"/>
      <c r="V299" s="114"/>
      <c r="W299" s="114"/>
      <c r="X299" s="114"/>
      <c r="Y299" s="114"/>
      <c r="Z299" s="114"/>
      <c r="AA299" s="114"/>
      <c r="AB299" s="114"/>
      <c r="AC299" s="114"/>
      <c r="AD299" s="114"/>
      <c r="AE299" s="114"/>
      <c r="AF299" s="114"/>
      <c r="AG299" s="114"/>
    </row>
    <row r="300" spans="1:33" s="113" customFormat="1">
      <c r="A300" s="119"/>
      <c r="B300" s="122"/>
      <c r="C300" s="121"/>
      <c r="D300" s="121"/>
      <c r="E300" s="121"/>
      <c r="F300" s="121"/>
      <c r="G300" s="121"/>
      <c r="H300" s="121"/>
      <c r="I300" s="121"/>
      <c r="J300" s="121"/>
      <c r="K300" s="121"/>
      <c r="L300" s="121"/>
      <c r="M300" s="121"/>
      <c r="N300" s="121"/>
      <c r="O300" s="114"/>
      <c r="P300" s="114"/>
      <c r="Q300" s="114"/>
      <c r="S300" s="114"/>
      <c r="T300" s="114"/>
      <c r="U300" s="114"/>
      <c r="V300" s="114"/>
      <c r="W300" s="114"/>
      <c r="X300" s="114"/>
      <c r="Y300" s="114"/>
      <c r="Z300" s="114"/>
      <c r="AA300" s="114"/>
      <c r="AB300" s="114"/>
      <c r="AC300" s="114"/>
      <c r="AD300" s="114"/>
      <c r="AE300" s="114"/>
      <c r="AF300" s="114"/>
      <c r="AG300" s="114"/>
    </row>
    <row r="301" spans="1:33" s="113" customFormat="1">
      <c r="A301" s="119"/>
      <c r="B301" s="122"/>
      <c r="C301" s="121"/>
      <c r="D301" s="121"/>
      <c r="E301" s="121"/>
      <c r="F301" s="121"/>
      <c r="G301" s="121"/>
      <c r="H301" s="121"/>
      <c r="I301" s="121"/>
      <c r="J301" s="121"/>
      <c r="K301" s="121"/>
      <c r="L301" s="121"/>
      <c r="M301" s="121"/>
      <c r="N301" s="121"/>
      <c r="O301" s="114"/>
      <c r="P301" s="114"/>
      <c r="Q301" s="114"/>
      <c r="S301" s="114"/>
      <c r="T301" s="114"/>
      <c r="U301" s="114"/>
      <c r="V301" s="114"/>
      <c r="W301" s="114"/>
      <c r="X301" s="114"/>
      <c r="Y301" s="114"/>
      <c r="Z301" s="114"/>
      <c r="AA301" s="114"/>
      <c r="AB301" s="114"/>
      <c r="AC301" s="114"/>
      <c r="AD301" s="114"/>
      <c r="AE301" s="114"/>
      <c r="AF301" s="114"/>
      <c r="AG301" s="114"/>
    </row>
    <row r="302" spans="1:33" s="113" customFormat="1">
      <c r="A302" s="119"/>
      <c r="B302" s="122"/>
      <c r="C302" s="121"/>
      <c r="D302" s="121"/>
      <c r="E302" s="121"/>
      <c r="F302" s="121"/>
      <c r="G302" s="121"/>
      <c r="H302" s="121"/>
      <c r="I302" s="121"/>
      <c r="J302" s="121"/>
      <c r="K302" s="121"/>
      <c r="L302" s="121"/>
      <c r="M302" s="121"/>
      <c r="N302" s="121"/>
      <c r="O302" s="114"/>
      <c r="P302" s="114"/>
      <c r="Q302" s="114"/>
      <c r="S302" s="114"/>
      <c r="T302" s="114"/>
      <c r="U302" s="114"/>
      <c r="V302" s="114"/>
      <c r="W302" s="114"/>
      <c r="X302" s="114"/>
      <c r="Y302" s="114"/>
      <c r="Z302" s="114"/>
      <c r="AA302" s="114"/>
      <c r="AB302" s="114"/>
      <c r="AC302" s="114"/>
      <c r="AD302" s="114"/>
      <c r="AE302" s="114"/>
      <c r="AF302" s="114"/>
      <c r="AG302" s="114"/>
    </row>
    <row r="303" spans="1:33" s="113" customFormat="1">
      <c r="A303" s="119"/>
      <c r="B303" s="122"/>
      <c r="C303" s="121"/>
      <c r="D303" s="121"/>
      <c r="E303" s="121"/>
      <c r="F303" s="121"/>
      <c r="G303" s="121"/>
      <c r="H303" s="121"/>
      <c r="I303" s="121"/>
      <c r="J303" s="121"/>
      <c r="K303" s="121"/>
      <c r="L303" s="121"/>
      <c r="M303" s="121"/>
      <c r="N303" s="121"/>
      <c r="O303" s="114"/>
      <c r="P303" s="114"/>
      <c r="Q303" s="114"/>
      <c r="S303" s="114"/>
      <c r="T303" s="114"/>
      <c r="U303" s="114"/>
      <c r="V303" s="114"/>
      <c r="W303" s="114"/>
      <c r="X303" s="114"/>
      <c r="Y303" s="114"/>
      <c r="Z303" s="114"/>
      <c r="AA303" s="114"/>
      <c r="AB303" s="114"/>
      <c r="AC303" s="114"/>
      <c r="AD303" s="114"/>
      <c r="AE303" s="114"/>
      <c r="AF303" s="114"/>
      <c r="AG303" s="114"/>
    </row>
    <row r="304" spans="1:33" s="113" customFormat="1">
      <c r="A304" s="119"/>
      <c r="B304" s="122"/>
      <c r="C304" s="121"/>
      <c r="D304" s="121"/>
      <c r="E304" s="121"/>
      <c r="F304" s="121"/>
      <c r="G304" s="121"/>
      <c r="H304" s="121"/>
      <c r="I304" s="121"/>
      <c r="J304" s="121"/>
      <c r="K304" s="121"/>
      <c r="L304" s="121"/>
      <c r="M304" s="121"/>
      <c r="N304" s="121"/>
      <c r="O304" s="114"/>
      <c r="P304" s="114"/>
      <c r="Q304" s="114"/>
      <c r="S304" s="114"/>
      <c r="T304" s="114"/>
      <c r="U304" s="114"/>
      <c r="V304" s="114"/>
      <c r="W304" s="114"/>
      <c r="X304" s="114"/>
      <c r="Y304" s="114"/>
      <c r="Z304" s="114"/>
      <c r="AA304" s="114"/>
      <c r="AB304" s="114"/>
      <c r="AC304" s="114"/>
      <c r="AD304" s="114"/>
      <c r="AE304" s="114"/>
      <c r="AF304" s="114"/>
      <c r="AG304" s="114"/>
    </row>
    <row r="305" spans="1:33" s="113" customFormat="1">
      <c r="A305" s="119"/>
      <c r="B305" s="122"/>
      <c r="C305" s="121"/>
      <c r="D305" s="121"/>
      <c r="E305" s="121"/>
      <c r="F305" s="121"/>
      <c r="G305" s="121"/>
      <c r="H305" s="121"/>
      <c r="I305" s="121"/>
      <c r="J305" s="121"/>
      <c r="K305" s="121"/>
      <c r="L305" s="121"/>
      <c r="M305" s="121"/>
      <c r="N305" s="121"/>
      <c r="O305" s="114"/>
      <c r="P305" s="114"/>
      <c r="Q305" s="114"/>
      <c r="S305" s="114"/>
      <c r="T305" s="114"/>
      <c r="U305" s="114"/>
      <c r="V305" s="114"/>
      <c r="W305" s="114"/>
      <c r="X305" s="114"/>
      <c r="Y305" s="114"/>
      <c r="Z305" s="114"/>
      <c r="AA305" s="114"/>
      <c r="AB305" s="114"/>
      <c r="AC305" s="114"/>
      <c r="AD305" s="114"/>
      <c r="AE305" s="114"/>
      <c r="AF305" s="114"/>
      <c r="AG305" s="114"/>
    </row>
    <row r="306" spans="1:33" s="113" customFormat="1">
      <c r="A306" s="119"/>
      <c r="B306" s="122"/>
      <c r="C306" s="121"/>
      <c r="D306" s="121"/>
      <c r="E306" s="121"/>
      <c r="F306" s="121"/>
      <c r="G306" s="121"/>
      <c r="H306" s="121"/>
      <c r="I306" s="121"/>
      <c r="J306" s="121"/>
      <c r="K306" s="121"/>
      <c r="L306" s="121"/>
      <c r="M306" s="121"/>
      <c r="N306" s="121"/>
      <c r="O306" s="114"/>
      <c r="P306" s="114"/>
      <c r="Q306" s="114"/>
      <c r="S306" s="114"/>
      <c r="T306" s="114"/>
      <c r="U306" s="114"/>
      <c r="V306" s="114"/>
      <c r="W306" s="114"/>
      <c r="X306" s="114"/>
      <c r="Y306" s="114"/>
      <c r="Z306" s="114"/>
      <c r="AA306" s="114"/>
      <c r="AB306" s="114"/>
      <c r="AC306" s="114"/>
      <c r="AD306" s="114"/>
      <c r="AE306" s="114"/>
      <c r="AF306" s="114"/>
      <c r="AG306" s="114"/>
    </row>
    <row r="307" spans="1:33" s="113" customFormat="1">
      <c r="A307" s="119"/>
      <c r="B307" s="122"/>
      <c r="C307" s="121"/>
      <c r="D307" s="121"/>
      <c r="E307" s="121"/>
      <c r="F307" s="121"/>
      <c r="G307" s="121"/>
      <c r="H307" s="121"/>
      <c r="I307" s="121"/>
      <c r="J307" s="121"/>
      <c r="K307" s="121"/>
      <c r="L307" s="121"/>
      <c r="M307" s="121"/>
      <c r="N307" s="121"/>
      <c r="O307" s="114"/>
      <c r="P307" s="114"/>
      <c r="Q307" s="114"/>
      <c r="S307" s="114"/>
      <c r="T307" s="114"/>
      <c r="U307" s="114"/>
      <c r="V307" s="114"/>
      <c r="W307" s="114"/>
      <c r="X307" s="114"/>
      <c r="Y307" s="114"/>
      <c r="Z307" s="114"/>
      <c r="AA307" s="114"/>
      <c r="AB307" s="114"/>
      <c r="AC307" s="114"/>
      <c r="AD307" s="114"/>
      <c r="AE307" s="114"/>
      <c r="AF307" s="114"/>
      <c r="AG307" s="114"/>
    </row>
    <row r="308" spans="1:33" s="113" customFormat="1">
      <c r="A308" s="119"/>
      <c r="B308" s="122"/>
      <c r="C308" s="121"/>
      <c r="D308" s="121"/>
      <c r="E308" s="121"/>
      <c r="F308" s="121"/>
      <c r="G308" s="121"/>
      <c r="H308" s="121"/>
      <c r="I308" s="121"/>
      <c r="J308" s="121"/>
      <c r="K308" s="121"/>
      <c r="L308" s="121"/>
      <c r="M308" s="121"/>
      <c r="N308" s="121"/>
      <c r="O308" s="114"/>
      <c r="P308" s="114"/>
      <c r="Q308" s="114"/>
      <c r="S308" s="114"/>
      <c r="T308" s="114"/>
      <c r="U308" s="114"/>
      <c r="V308" s="114"/>
      <c r="W308" s="114"/>
      <c r="X308" s="114"/>
      <c r="Y308" s="114"/>
      <c r="Z308" s="114"/>
      <c r="AA308" s="114"/>
      <c r="AB308" s="114"/>
      <c r="AC308" s="114"/>
      <c r="AD308" s="114"/>
      <c r="AE308" s="114"/>
      <c r="AF308" s="114"/>
      <c r="AG308" s="114"/>
    </row>
    <row r="309" spans="1:33" s="113" customFormat="1">
      <c r="A309" s="119"/>
      <c r="B309" s="122"/>
      <c r="C309" s="121"/>
      <c r="D309" s="121"/>
      <c r="E309" s="121"/>
      <c r="F309" s="121"/>
      <c r="G309" s="121"/>
      <c r="H309" s="121"/>
      <c r="I309" s="121"/>
      <c r="J309" s="121"/>
      <c r="K309" s="121"/>
      <c r="L309" s="121"/>
      <c r="M309" s="121"/>
      <c r="N309" s="121"/>
      <c r="O309" s="114"/>
      <c r="P309" s="114"/>
      <c r="Q309" s="114"/>
      <c r="S309" s="114"/>
      <c r="T309" s="114"/>
      <c r="U309" s="114"/>
      <c r="V309" s="114"/>
      <c r="W309" s="114"/>
      <c r="X309" s="114"/>
      <c r="Y309" s="114"/>
      <c r="Z309" s="114"/>
      <c r="AA309" s="114"/>
      <c r="AB309" s="114"/>
      <c r="AC309" s="114"/>
      <c r="AD309" s="114"/>
      <c r="AE309" s="114"/>
      <c r="AF309" s="114"/>
      <c r="AG309" s="114"/>
    </row>
    <row r="310" spans="1:33" s="113" customFormat="1">
      <c r="A310" s="119"/>
      <c r="B310" s="122"/>
      <c r="C310" s="121"/>
      <c r="D310" s="121"/>
      <c r="E310" s="121"/>
      <c r="F310" s="121"/>
      <c r="G310" s="121"/>
      <c r="H310" s="121"/>
      <c r="I310" s="121"/>
      <c r="J310" s="121"/>
      <c r="K310" s="121"/>
      <c r="L310" s="121"/>
      <c r="M310" s="121"/>
      <c r="N310" s="121"/>
      <c r="O310" s="114"/>
      <c r="P310" s="114"/>
      <c r="Q310" s="114"/>
      <c r="S310" s="114"/>
      <c r="T310" s="114"/>
      <c r="U310" s="114"/>
      <c r="V310" s="114"/>
      <c r="W310" s="114"/>
      <c r="X310" s="114"/>
      <c r="Y310" s="114"/>
      <c r="Z310" s="114"/>
      <c r="AA310" s="114"/>
      <c r="AB310" s="114"/>
      <c r="AC310" s="114"/>
      <c r="AD310" s="114"/>
      <c r="AE310" s="114"/>
      <c r="AF310" s="114"/>
      <c r="AG310" s="114"/>
    </row>
    <row r="311" spans="1:33" s="113" customFormat="1">
      <c r="A311" s="119"/>
      <c r="B311" s="122"/>
      <c r="C311" s="121"/>
      <c r="D311" s="121"/>
      <c r="E311" s="121"/>
      <c r="F311" s="121"/>
      <c r="G311" s="121"/>
      <c r="H311" s="121"/>
      <c r="I311" s="121"/>
      <c r="J311" s="121"/>
      <c r="K311" s="121"/>
      <c r="L311" s="121"/>
      <c r="M311" s="121"/>
      <c r="N311" s="121"/>
      <c r="O311" s="114"/>
      <c r="P311" s="114"/>
      <c r="Q311" s="114"/>
      <c r="S311" s="114"/>
      <c r="T311" s="114"/>
      <c r="U311" s="114"/>
      <c r="V311" s="114"/>
      <c r="W311" s="114"/>
      <c r="X311" s="114"/>
      <c r="Y311" s="114"/>
      <c r="Z311" s="114"/>
      <c r="AA311" s="114"/>
      <c r="AB311" s="114"/>
      <c r="AC311" s="114"/>
      <c r="AD311" s="114"/>
      <c r="AE311" s="114"/>
      <c r="AF311" s="114"/>
      <c r="AG311" s="114"/>
    </row>
    <row r="312" spans="1:33" s="113" customFormat="1">
      <c r="A312" s="119"/>
      <c r="B312" s="122"/>
      <c r="C312" s="121"/>
      <c r="D312" s="121"/>
      <c r="E312" s="121"/>
      <c r="F312" s="121"/>
      <c r="G312" s="121"/>
      <c r="H312" s="121"/>
      <c r="I312" s="121"/>
      <c r="J312" s="121"/>
      <c r="K312" s="121"/>
      <c r="L312" s="121"/>
      <c r="M312" s="121"/>
      <c r="N312" s="121"/>
      <c r="O312" s="114"/>
      <c r="P312" s="114"/>
      <c r="Q312" s="114"/>
      <c r="S312" s="114"/>
      <c r="T312" s="114"/>
      <c r="U312" s="114"/>
      <c r="V312" s="114"/>
      <c r="W312" s="114"/>
      <c r="X312" s="114"/>
      <c r="Y312" s="114"/>
      <c r="Z312" s="114"/>
      <c r="AA312" s="114"/>
      <c r="AB312" s="114"/>
      <c r="AC312" s="114"/>
      <c r="AD312" s="114"/>
      <c r="AE312" s="114"/>
      <c r="AF312" s="114"/>
      <c r="AG312" s="114"/>
    </row>
    <row r="313" spans="1:33" s="113" customFormat="1">
      <c r="A313" s="119"/>
      <c r="B313" s="122"/>
      <c r="C313" s="121"/>
      <c r="D313" s="121"/>
      <c r="E313" s="121"/>
      <c r="F313" s="121"/>
      <c r="G313" s="121"/>
      <c r="H313" s="121"/>
      <c r="I313" s="121"/>
      <c r="J313" s="121"/>
      <c r="K313" s="121"/>
      <c r="L313" s="121"/>
      <c r="M313" s="121"/>
      <c r="N313" s="121"/>
      <c r="O313" s="114"/>
      <c r="P313" s="114"/>
      <c r="Q313" s="114"/>
      <c r="S313" s="114"/>
      <c r="T313" s="114"/>
      <c r="U313" s="114"/>
      <c r="V313" s="114"/>
      <c r="W313" s="114"/>
      <c r="X313" s="114"/>
      <c r="Y313" s="114"/>
      <c r="Z313" s="114"/>
      <c r="AA313" s="114"/>
      <c r="AB313" s="114"/>
      <c r="AC313" s="114"/>
      <c r="AD313" s="114"/>
      <c r="AE313" s="114"/>
      <c r="AF313" s="114"/>
      <c r="AG313" s="114"/>
    </row>
    <row r="314" spans="1:33" s="113" customFormat="1">
      <c r="A314" s="119"/>
      <c r="B314" s="122"/>
      <c r="C314" s="121"/>
      <c r="D314" s="121"/>
      <c r="E314" s="121"/>
      <c r="F314" s="121"/>
      <c r="G314" s="121"/>
      <c r="H314" s="121"/>
      <c r="I314" s="121"/>
      <c r="J314" s="121"/>
      <c r="K314" s="121"/>
      <c r="L314" s="121"/>
      <c r="M314" s="121"/>
      <c r="N314" s="121"/>
      <c r="O314" s="114"/>
      <c r="P314" s="114"/>
      <c r="Q314" s="114"/>
      <c r="S314" s="114"/>
      <c r="T314" s="114"/>
      <c r="U314" s="114"/>
      <c r="V314" s="114"/>
      <c r="W314" s="114"/>
      <c r="X314" s="114"/>
      <c r="Y314" s="114"/>
      <c r="Z314" s="114"/>
      <c r="AA314" s="114"/>
      <c r="AB314" s="114"/>
      <c r="AC314" s="114"/>
      <c r="AD314" s="114"/>
      <c r="AE314" s="114"/>
      <c r="AF314" s="114"/>
      <c r="AG314" s="114"/>
    </row>
    <row r="315" spans="1:33" s="113" customFormat="1">
      <c r="A315" s="119"/>
      <c r="B315" s="122"/>
      <c r="C315" s="121"/>
      <c r="D315" s="121"/>
      <c r="E315" s="121"/>
      <c r="F315" s="121"/>
      <c r="G315" s="121"/>
      <c r="H315" s="121"/>
      <c r="I315" s="121"/>
      <c r="J315" s="121"/>
      <c r="K315" s="121"/>
      <c r="L315" s="121"/>
      <c r="M315" s="121"/>
      <c r="N315" s="121"/>
      <c r="O315" s="114"/>
      <c r="P315" s="114"/>
      <c r="Q315" s="114"/>
      <c r="S315" s="114"/>
      <c r="T315" s="114"/>
      <c r="U315" s="114"/>
      <c r="V315" s="114"/>
      <c r="W315" s="114"/>
      <c r="X315" s="114"/>
      <c r="Y315" s="114"/>
      <c r="Z315" s="114"/>
      <c r="AA315" s="114"/>
      <c r="AB315" s="114"/>
      <c r="AC315" s="114"/>
      <c r="AD315" s="114"/>
      <c r="AE315" s="114"/>
      <c r="AF315" s="114"/>
      <c r="AG315" s="114"/>
    </row>
    <row r="316" spans="1:33" s="113" customFormat="1">
      <c r="A316" s="119"/>
      <c r="B316" s="122"/>
      <c r="C316" s="121"/>
      <c r="D316" s="121"/>
      <c r="E316" s="121"/>
      <c r="F316" s="121"/>
      <c r="G316" s="121"/>
      <c r="H316" s="121"/>
      <c r="I316" s="121"/>
      <c r="J316" s="121"/>
      <c r="K316" s="121"/>
      <c r="L316" s="121"/>
      <c r="M316" s="121"/>
      <c r="N316" s="121"/>
      <c r="O316" s="114"/>
      <c r="P316" s="114"/>
      <c r="Q316" s="114"/>
      <c r="S316" s="114"/>
      <c r="T316" s="114"/>
      <c r="U316" s="114"/>
      <c r="V316" s="114"/>
      <c r="W316" s="114"/>
      <c r="X316" s="114"/>
      <c r="Y316" s="114"/>
      <c r="Z316" s="114"/>
      <c r="AA316" s="114"/>
      <c r="AB316" s="114"/>
      <c r="AC316" s="114"/>
      <c r="AD316" s="114"/>
      <c r="AE316" s="114"/>
      <c r="AF316" s="114"/>
      <c r="AG316" s="114"/>
    </row>
    <row r="317" spans="1:33" s="113" customFormat="1">
      <c r="A317" s="119"/>
      <c r="B317" s="122"/>
      <c r="C317" s="121"/>
      <c r="D317" s="121"/>
      <c r="E317" s="121"/>
      <c r="F317" s="121"/>
      <c r="G317" s="121"/>
      <c r="H317" s="121"/>
      <c r="I317" s="121"/>
      <c r="J317" s="121"/>
      <c r="K317" s="121"/>
      <c r="L317" s="121"/>
      <c r="M317" s="121"/>
      <c r="N317" s="121"/>
      <c r="O317" s="114"/>
      <c r="P317" s="114"/>
      <c r="Q317" s="114"/>
      <c r="S317" s="114"/>
      <c r="T317" s="114"/>
      <c r="U317" s="114"/>
      <c r="V317" s="114"/>
      <c r="W317" s="114"/>
      <c r="X317" s="114"/>
      <c r="Y317" s="114"/>
      <c r="Z317" s="114"/>
      <c r="AA317" s="114"/>
      <c r="AB317" s="114"/>
      <c r="AC317" s="114"/>
      <c r="AD317" s="114"/>
      <c r="AE317" s="114"/>
      <c r="AF317" s="114"/>
      <c r="AG317" s="114"/>
    </row>
    <row r="318" spans="1:33" s="113" customFormat="1">
      <c r="A318" s="119"/>
      <c r="B318" s="122"/>
      <c r="C318" s="121"/>
      <c r="D318" s="121"/>
      <c r="E318" s="121"/>
      <c r="F318" s="121"/>
      <c r="G318" s="121"/>
      <c r="H318" s="121"/>
      <c r="I318" s="121"/>
      <c r="J318" s="121"/>
      <c r="K318" s="121"/>
      <c r="L318" s="121"/>
      <c r="M318" s="121"/>
      <c r="N318" s="121"/>
      <c r="O318" s="114"/>
      <c r="P318" s="114"/>
      <c r="Q318" s="114"/>
      <c r="S318" s="114"/>
      <c r="T318" s="114"/>
      <c r="U318" s="114"/>
      <c r="V318" s="114"/>
      <c r="W318" s="114"/>
      <c r="X318" s="114"/>
      <c r="Y318" s="114"/>
      <c r="Z318" s="114"/>
      <c r="AA318" s="114"/>
      <c r="AB318" s="114"/>
      <c r="AC318" s="114"/>
      <c r="AD318" s="114"/>
      <c r="AE318" s="114"/>
      <c r="AF318" s="114"/>
      <c r="AG318" s="114"/>
    </row>
    <row r="319" spans="1:33" s="113" customFormat="1">
      <c r="A319" s="119"/>
      <c r="B319" s="122"/>
      <c r="C319" s="121"/>
      <c r="D319" s="121"/>
      <c r="E319" s="121"/>
      <c r="F319" s="121"/>
      <c r="G319" s="121"/>
      <c r="H319" s="121"/>
      <c r="I319" s="121"/>
      <c r="J319" s="121"/>
      <c r="K319" s="121"/>
      <c r="L319" s="121"/>
      <c r="M319" s="121"/>
      <c r="N319" s="121"/>
      <c r="O319" s="114"/>
      <c r="P319" s="114"/>
      <c r="Q319" s="114"/>
      <c r="S319" s="114"/>
      <c r="T319" s="114"/>
      <c r="U319" s="114"/>
      <c r="V319" s="114"/>
      <c r="W319" s="114"/>
      <c r="X319" s="114"/>
      <c r="Y319" s="114"/>
      <c r="Z319" s="114"/>
      <c r="AA319" s="114"/>
      <c r="AB319" s="114"/>
      <c r="AC319" s="114"/>
      <c r="AD319" s="114"/>
      <c r="AE319" s="114"/>
      <c r="AF319" s="114"/>
      <c r="AG319" s="114"/>
    </row>
    <row r="320" spans="1:33" s="113" customFormat="1">
      <c r="A320" s="119"/>
      <c r="B320" s="122"/>
      <c r="C320" s="121"/>
      <c r="D320" s="121"/>
      <c r="E320" s="121"/>
      <c r="F320" s="121"/>
      <c r="G320" s="121"/>
      <c r="H320" s="121"/>
      <c r="I320" s="121"/>
      <c r="J320" s="121"/>
      <c r="K320" s="121"/>
      <c r="L320" s="121"/>
      <c r="M320" s="121"/>
      <c r="N320" s="121"/>
      <c r="O320" s="114"/>
      <c r="P320" s="114"/>
      <c r="Q320" s="114"/>
      <c r="S320" s="114"/>
      <c r="T320" s="114"/>
      <c r="U320" s="114"/>
      <c r="V320" s="114"/>
      <c r="W320" s="114"/>
      <c r="X320" s="114"/>
      <c r="Y320" s="114"/>
      <c r="Z320" s="114"/>
      <c r="AA320" s="114"/>
      <c r="AB320" s="114"/>
      <c r="AC320" s="114"/>
      <c r="AD320" s="114"/>
      <c r="AE320" s="114"/>
      <c r="AF320" s="114"/>
      <c r="AG320" s="114"/>
    </row>
    <row r="321" spans="1:33" s="113" customFormat="1">
      <c r="A321" s="119"/>
      <c r="B321" s="122"/>
      <c r="C321" s="121"/>
      <c r="D321" s="121"/>
      <c r="E321" s="121"/>
      <c r="F321" s="121"/>
      <c r="G321" s="121"/>
      <c r="H321" s="121"/>
      <c r="I321" s="121"/>
      <c r="J321" s="121"/>
      <c r="K321" s="121"/>
      <c r="L321" s="121"/>
      <c r="M321" s="121"/>
      <c r="N321" s="121"/>
      <c r="O321" s="114"/>
      <c r="P321" s="114"/>
      <c r="Q321" s="114"/>
      <c r="S321" s="114"/>
      <c r="T321" s="114"/>
      <c r="U321" s="114"/>
      <c r="V321" s="114"/>
      <c r="W321" s="114"/>
      <c r="X321" s="114"/>
      <c r="Y321" s="114"/>
      <c r="Z321" s="114"/>
      <c r="AA321" s="114"/>
      <c r="AB321" s="114"/>
      <c r="AC321" s="114"/>
      <c r="AD321" s="114"/>
      <c r="AE321" s="114"/>
      <c r="AF321" s="114"/>
      <c r="AG321" s="114"/>
    </row>
    <row r="322" spans="1:33" s="113" customFormat="1">
      <c r="A322" s="119"/>
      <c r="B322" s="122"/>
      <c r="C322" s="121"/>
      <c r="D322" s="121"/>
      <c r="E322" s="121"/>
      <c r="F322" s="121"/>
      <c r="G322" s="121"/>
      <c r="H322" s="121"/>
      <c r="I322" s="121"/>
      <c r="J322" s="121"/>
      <c r="K322" s="121"/>
      <c r="L322" s="121"/>
      <c r="M322" s="121"/>
      <c r="N322" s="121"/>
      <c r="O322" s="114"/>
      <c r="P322" s="114"/>
      <c r="Q322" s="114"/>
      <c r="S322" s="114"/>
      <c r="T322" s="114"/>
      <c r="U322" s="114"/>
      <c r="V322" s="114"/>
      <c r="W322" s="114"/>
      <c r="X322" s="114"/>
      <c r="Y322" s="114"/>
      <c r="Z322" s="114"/>
      <c r="AA322" s="114"/>
      <c r="AB322" s="114"/>
      <c r="AC322" s="114"/>
      <c r="AD322" s="114"/>
      <c r="AE322" s="114"/>
      <c r="AF322" s="114"/>
      <c r="AG322" s="114"/>
    </row>
    <row r="323" spans="1:33" s="113" customFormat="1">
      <c r="A323" s="119"/>
      <c r="B323" s="122"/>
      <c r="C323" s="121"/>
      <c r="D323" s="121"/>
      <c r="E323" s="121"/>
      <c r="F323" s="121"/>
      <c r="G323" s="121"/>
      <c r="H323" s="121"/>
      <c r="I323" s="121"/>
      <c r="J323" s="121"/>
      <c r="K323" s="121"/>
      <c r="L323" s="121"/>
      <c r="M323" s="121"/>
      <c r="N323" s="121"/>
      <c r="O323" s="114"/>
      <c r="P323" s="114"/>
      <c r="Q323" s="114"/>
      <c r="S323" s="114"/>
      <c r="T323" s="114"/>
      <c r="U323" s="114"/>
      <c r="V323" s="114"/>
      <c r="W323" s="114"/>
      <c r="X323" s="114"/>
      <c r="Y323" s="114"/>
      <c r="Z323" s="114"/>
      <c r="AA323" s="114"/>
      <c r="AB323" s="114"/>
      <c r="AC323" s="114"/>
      <c r="AD323" s="114"/>
      <c r="AE323" s="114"/>
      <c r="AF323" s="114"/>
      <c r="AG323" s="114"/>
    </row>
    <row r="324" spans="1:33" s="113" customFormat="1">
      <c r="A324" s="119"/>
      <c r="B324" s="122"/>
      <c r="C324" s="121"/>
      <c r="D324" s="121"/>
      <c r="E324" s="121"/>
      <c r="F324" s="121"/>
      <c r="G324" s="121"/>
      <c r="H324" s="121"/>
      <c r="I324" s="121"/>
      <c r="J324" s="121"/>
      <c r="K324" s="121"/>
      <c r="L324" s="121"/>
      <c r="M324" s="121"/>
      <c r="N324" s="121"/>
      <c r="O324" s="114"/>
      <c r="P324" s="114"/>
      <c r="Q324" s="114"/>
      <c r="S324" s="114"/>
      <c r="T324" s="114"/>
      <c r="U324" s="114"/>
      <c r="V324" s="114"/>
      <c r="W324" s="114"/>
      <c r="X324" s="114"/>
      <c r="Y324" s="114"/>
      <c r="Z324" s="114"/>
      <c r="AA324" s="114"/>
      <c r="AB324" s="114"/>
      <c r="AC324" s="114"/>
      <c r="AD324" s="114"/>
      <c r="AE324" s="114"/>
      <c r="AF324" s="114"/>
      <c r="AG324" s="114"/>
    </row>
    <row r="325" spans="1:33" s="113" customFormat="1">
      <c r="A325" s="119"/>
      <c r="B325" s="122"/>
      <c r="C325" s="121"/>
      <c r="D325" s="121"/>
      <c r="E325" s="121"/>
      <c r="F325" s="121"/>
      <c r="G325" s="121"/>
      <c r="H325" s="121"/>
      <c r="I325" s="121"/>
      <c r="J325" s="121"/>
      <c r="K325" s="121"/>
      <c r="L325" s="121"/>
      <c r="M325" s="121"/>
      <c r="N325" s="121"/>
      <c r="O325" s="114"/>
      <c r="P325" s="114"/>
      <c r="Q325" s="114"/>
      <c r="S325" s="114"/>
      <c r="T325" s="114"/>
      <c r="U325" s="114"/>
      <c r="V325" s="114"/>
      <c r="W325" s="114"/>
      <c r="X325" s="114"/>
      <c r="Y325" s="114"/>
      <c r="Z325" s="114"/>
      <c r="AA325" s="114"/>
      <c r="AB325" s="114"/>
      <c r="AC325" s="114"/>
      <c r="AD325" s="114"/>
      <c r="AE325" s="114"/>
      <c r="AF325" s="114"/>
      <c r="AG325" s="114"/>
    </row>
    <row r="326" spans="1:33" s="113" customFormat="1">
      <c r="A326" s="119"/>
      <c r="B326" s="122"/>
      <c r="C326" s="121"/>
      <c r="D326" s="121"/>
      <c r="E326" s="121"/>
      <c r="F326" s="121"/>
      <c r="G326" s="121"/>
      <c r="H326" s="121"/>
      <c r="I326" s="121"/>
      <c r="J326" s="121"/>
      <c r="K326" s="121"/>
      <c r="L326" s="121"/>
      <c r="M326" s="121"/>
      <c r="N326" s="121"/>
      <c r="O326" s="114"/>
      <c r="P326" s="114"/>
      <c r="Q326" s="114"/>
      <c r="S326" s="114"/>
      <c r="T326" s="114"/>
      <c r="U326" s="114"/>
      <c r="V326" s="114"/>
      <c r="W326" s="114"/>
      <c r="X326" s="114"/>
      <c r="Y326" s="114"/>
      <c r="Z326" s="114"/>
      <c r="AA326" s="114"/>
      <c r="AB326" s="114"/>
      <c r="AC326" s="114"/>
      <c r="AD326" s="114"/>
      <c r="AE326" s="114"/>
      <c r="AF326" s="114"/>
      <c r="AG326" s="114"/>
    </row>
    <row r="327" spans="1:33" s="113" customFormat="1">
      <c r="A327" s="119"/>
      <c r="B327" s="122"/>
      <c r="C327" s="121"/>
      <c r="D327" s="121"/>
      <c r="E327" s="121"/>
      <c r="F327" s="121"/>
      <c r="G327" s="121"/>
      <c r="H327" s="121"/>
      <c r="I327" s="121"/>
      <c r="J327" s="121"/>
      <c r="K327" s="121"/>
      <c r="L327" s="121"/>
      <c r="M327" s="121"/>
      <c r="N327" s="121"/>
      <c r="O327" s="114"/>
      <c r="P327" s="114"/>
      <c r="Q327" s="114"/>
      <c r="S327" s="114"/>
      <c r="T327" s="114"/>
      <c r="U327" s="114"/>
      <c r="V327" s="114"/>
      <c r="W327" s="114"/>
      <c r="X327" s="114"/>
      <c r="Y327" s="114"/>
      <c r="Z327" s="114"/>
      <c r="AA327" s="114"/>
      <c r="AB327" s="114"/>
      <c r="AC327" s="114"/>
      <c r="AD327" s="114"/>
      <c r="AE327" s="114"/>
      <c r="AF327" s="114"/>
      <c r="AG327" s="114"/>
    </row>
    <row r="328" spans="1:33" s="113" customFormat="1">
      <c r="A328" s="119"/>
      <c r="B328" s="122"/>
      <c r="C328" s="121"/>
      <c r="D328" s="121"/>
      <c r="E328" s="121"/>
      <c r="F328" s="121"/>
      <c r="G328" s="121"/>
      <c r="H328" s="121"/>
      <c r="I328" s="121"/>
      <c r="J328" s="121"/>
      <c r="K328" s="121"/>
      <c r="L328" s="121"/>
      <c r="M328" s="121"/>
      <c r="N328" s="121"/>
      <c r="O328" s="114"/>
      <c r="P328" s="114"/>
      <c r="Q328" s="114"/>
      <c r="S328" s="114"/>
      <c r="T328" s="114"/>
      <c r="U328" s="114"/>
      <c r="V328" s="114"/>
      <c r="W328" s="114"/>
      <c r="X328" s="114"/>
      <c r="Y328" s="114"/>
      <c r="Z328" s="114"/>
      <c r="AA328" s="114"/>
      <c r="AB328" s="114"/>
      <c r="AC328" s="114"/>
      <c r="AD328" s="114"/>
      <c r="AE328" s="114"/>
      <c r="AF328" s="114"/>
      <c r="AG328" s="114"/>
    </row>
    <row r="329" spans="1:33" s="113" customFormat="1">
      <c r="A329" s="119"/>
      <c r="B329" s="122"/>
      <c r="C329" s="121"/>
      <c r="D329" s="121"/>
      <c r="E329" s="121"/>
      <c r="F329" s="121"/>
      <c r="G329" s="121"/>
      <c r="H329" s="121"/>
      <c r="I329" s="121"/>
      <c r="J329" s="121"/>
      <c r="K329" s="121"/>
      <c r="L329" s="121"/>
      <c r="M329" s="121"/>
      <c r="N329" s="121"/>
      <c r="O329" s="114"/>
      <c r="P329" s="114"/>
      <c r="Q329" s="114"/>
      <c r="S329" s="114"/>
      <c r="T329" s="114"/>
      <c r="U329" s="114"/>
      <c r="V329" s="114"/>
      <c r="W329" s="114"/>
      <c r="X329" s="114"/>
      <c r="Y329" s="114"/>
      <c r="Z329" s="114"/>
      <c r="AA329" s="114"/>
      <c r="AB329" s="114"/>
      <c r="AC329" s="114"/>
      <c r="AD329" s="114"/>
      <c r="AE329" s="114"/>
      <c r="AF329" s="114"/>
      <c r="AG329" s="114"/>
    </row>
    <row r="330" spans="1:33" s="113" customFormat="1">
      <c r="A330" s="119"/>
      <c r="B330" s="122"/>
      <c r="C330" s="121"/>
      <c r="D330" s="121"/>
      <c r="E330" s="121"/>
      <c r="F330" s="121"/>
      <c r="G330" s="121"/>
      <c r="H330" s="121"/>
      <c r="I330" s="121"/>
      <c r="J330" s="121"/>
      <c r="K330" s="121"/>
      <c r="L330" s="121"/>
      <c r="M330" s="121"/>
      <c r="N330" s="121"/>
      <c r="O330" s="114"/>
      <c r="P330" s="114"/>
      <c r="Q330" s="114"/>
      <c r="S330" s="114"/>
      <c r="T330" s="114"/>
      <c r="U330" s="114"/>
      <c r="V330" s="114"/>
      <c r="W330" s="114"/>
      <c r="X330" s="114"/>
      <c r="Y330" s="114"/>
      <c r="Z330" s="114"/>
      <c r="AA330" s="114"/>
      <c r="AB330" s="114"/>
      <c r="AC330" s="114"/>
      <c r="AD330" s="114"/>
      <c r="AE330" s="114"/>
      <c r="AF330" s="114"/>
      <c r="AG330" s="114"/>
    </row>
    <row r="331" spans="1:33" s="113" customFormat="1">
      <c r="A331" s="119"/>
      <c r="B331" s="122"/>
      <c r="C331" s="121"/>
      <c r="D331" s="121"/>
      <c r="E331" s="121"/>
      <c r="F331" s="121"/>
      <c r="G331" s="121"/>
      <c r="H331" s="121"/>
      <c r="I331" s="121"/>
      <c r="J331" s="121"/>
      <c r="K331" s="121"/>
      <c r="L331" s="121"/>
      <c r="M331" s="121"/>
      <c r="N331" s="121"/>
      <c r="O331" s="114"/>
      <c r="P331" s="114"/>
      <c r="Q331" s="114"/>
      <c r="S331" s="114"/>
      <c r="T331" s="114"/>
      <c r="U331" s="114"/>
      <c r="V331" s="114"/>
      <c r="W331" s="114"/>
      <c r="X331" s="114"/>
      <c r="Y331" s="114"/>
      <c r="Z331" s="114"/>
      <c r="AA331" s="114"/>
      <c r="AB331" s="114"/>
      <c r="AC331" s="114"/>
      <c r="AD331" s="114"/>
      <c r="AE331" s="114"/>
      <c r="AF331" s="114"/>
      <c r="AG331" s="114"/>
    </row>
    <row r="332" spans="1:33" s="113" customFormat="1">
      <c r="A332" s="119"/>
      <c r="B332" s="122"/>
      <c r="C332" s="121"/>
      <c r="D332" s="121"/>
      <c r="E332" s="121"/>
      <c r="F332" s="121"/>
      <c r="G332" s="121"/>
      <c r="H332" s="121"/>
      <c r="I332" s="121"/>
      <c r="J332" s="121"/>
      <c r="K332" s="121"/>
      <c r="L332" s="121"/>
      <c r="M332" s="121"/>
      <c r="N332" s="121"/>
      <c r="O332" s="114"/>
      <c r="P332" s="114"/>
      <c r="Q332" s="114"/>
      <c r="S332" s="114"/>
      <c r="T332" s="114"/>
      <c r="U332" s="114"/>
      <c r="V332" s="114"/>
      <c r="W332" s="114"/>
      <c r="X332" s="114"/>
      <c r="Y332" s="114"/>
      <c r="Z332" s="114"/>
      <c r="AA332" s="114"/>
      <c r="AB332" s="114"/>
      <c r="AC332" s="114"/>
      <c r="AD332" s="114"/>
      <c r="AE332" s="114"/>
      <c r="AF332" s="114"/>
      <c r="AG332" s="114"/>
    </row>
    <row r="333" spans="1:33" s="113" customFormat="1">
      <c r="A333" s="119"/>
      <c r="B333" s="122"/>
      <c r="C333" s="121"/>
      <c r="D333" s="121"/>
      <c r="E333" s="121"/>
      <c r="F333" s="121"/>
      <c r="G333" s="121"/>
      <c r="H333" s="121"/>
      <c r="I333" s="121"/>
      <c r="J333" s="121"/>
      <c r="K333" s="121"/>
      <c r="L333" s="121"/>
      <c r="M333" s="121"/>
      <c r="N333" s="121"/>
      <c r="O333" s="114"/>
      <c r="P333" s="114"/>
      <c r="Q333" s="114"/>
      <c r="S333" s="114"/>
      <c r="T333" s="114"/>
      <c r="U333" s="114"/>
      <c r="V333" s="114"/>
      <c r="W333" s="114"/>
      <c r="X333" s="114"/>
      <c r="Y333" s="114"/>
      <c r="Z333" s="114"/>
      <c r="AA333" s="114"/>
      <c r="AB333" s="114"/>
      <c r="AC333" s="114"/>
      <c r="AD333" s="114"/>
      <c r="AE333" s="114"/>
      <c r="AF333" s="114"/>
      <c r="AG333" s="114"/>
    </row>
    <row r="334" spans="1:33" s="113" customFormat="1">
      <c r="A334" s="119"/>
      <c r="B334" s="122"/>
      <c r="C334" s="121"/>
      <c r="D334" s="121"/>
      <c r="E334" s="121"/>
      <c r="F334" s="121"/>
      <c r="G334" s="121"/>
      <c r="H334" s="121"/>
      <c r="I334" s="121"/>
      <c r="J334" s="121"/>
      <c r="K334" s="121"/>
      <c r="L334" s="121"/>
      <c r="M334" s="121"/>
      <c r="N334" s="121"/>
      <c r="O334" s="114"/>
      <c r="P334" s="114"/>
      <c r="Q334" s="114"/>
      <c r="S334" s="114"/>
      <c r="T334" s="114"/>
      <c r="U334" s="114"/>
      <c r="V334" s="114"/>
      <c r="W334" s="114"/>
      <c r="X334" s="114"/>
      <c r="Y334" s="114"/>
      <c r="Z334" s="114"/>
      <c r="AA334" s="114"/>
      <c r="AB334" s="114"/>
      <c r="AC334" s="114"/>
      <c r="AD334" s="114"/>
      <c r="AE334" s="114"/>
      <c r="AF334" s="114"/>
      <c r="AG334" s="114"/>
    </row>
    <row r="335" spans="1:33" s="113" customFormat="1">
      <c r="A335" s="119"/>
      <c r="B335" s="122"/>
      <c r="C335" s="121"/>
      <c r="D335" s="121"/>
      <c r="E335" s="121"/>
      <c r="F335" s="121"/>
      <c r="G335" s="121"/>
      <c r="H335" s="121"/>
      <c r="I335" s="121"/>
      <c r="J335" s="121"/>
      <c r="K335" s="121"/>
      <c r="L335" s="121"/>
      <c r="M335" s="121"/>
      <c r="N335" s="121"/>
      <c r="O335" s="114"/>
      <c r="P335" s="114"/>
      <c r="Q335" s="114"/>
      <c r="S335" s="114"/>
      <c r="T335" s="114"/>
      <c r="U335" s="114"/>
      <c r="V335" s="114"/>
      <c r="W335" s="114"/>
      <c r="X335" s="114"/>
      <c r="Y335" s="114"/>
      <c r="Z335" s="114"/>
      <c r="AA335" s="114"/>
      <c r="AB335" s="114"/>
      <c r="AC335" s="114"/>
      <c r="AD335" s="114"/>
      <c r="AE335" s="114"/>
      <c r="AF335" s="114"/>
      <c r="AG335" s="114"/>
    </row>
    <row r="336" spans="1:33" s="113" customFormat="1">
      <c r="A336" s="119"/>
      <c r="B336" s="122"/>
      <c r="C336" s="121"/>
      <c r="D336" s="121"/>
      <c r="E336" s="121"/>
      <c r="F336" s="121"/>
      <c r="G336" s="121"/>
      <c r="H336" s="121"/>
      <c r="I336" s="121"/>
      <c r="J336" s="121"/>
      <c r="K336" s="121"/>
      <c r="L336" s="121"/>
      <c r="M336" s="121"/>
      <c r="N336" s="121"/>
      <c r="O336" s="114"/>
      <c r="P336" s="114"/>
      <c r="Q336" s="114"/>
      <c r="S336" s="114"/>
      <c r="T336" s="114"/>
      <c r="U336" s="114"/>
      <c r="V336" s="114"/>
      <c r="W336" s="114"/>
      <c r="X336" s="114"/>
      <c r="Y336" s="114"/>
      <c r="Z336" s="114"/>
      <c r="AA336" s="114"/>
      <c r="AB336" s="114"/>
      <c r="AC336" s="114"/>
      <c r="AD336" s="114"/>
      <c r="AE336" s="114"/>
      <c r="AF336" s="114"/>
      <c r="AG336" s="114"/>
    </row>
    <row r="337" spans="1:33" s="113" customFormat="1">
      <c r="A337" s="119"/>
      <c r="B337" s="122"/>
      <c r="C337" s="121"/>
      <c r="D337" s="121"/>
      <c r="E337" s="121"/>
      <c r="F337" s="121"/>
      <c r="G337" s="121"/>
      <c r="H337" s="121"/>
      <c r="I337" s="121"/>
      <c r="J337" s="121"/>
      <c r="K337" s="121"/>
      <c r="L337" s="121"/>
      <c r="M337" s="121"/>
      <c r="N337" s="121"/>
      <c r="O337" s="114"/>
      <c r="P337" s="114"/>
      <c r="Q337" s="114"/>
      <c r="S337" s="114"/>
      <c r="T337" s="114"/>
      <c r="U337" s="114"/>
      <c r="V337" s="114"/>
      <c r="W337" s="114"/>
      <c r="X337" s="114"/>
      <c r="Y337" s="114"/>
      <c r="Z337" s="114"/>
      <c r="AA337" s="114"/>
      <c r="AB337" s="114"/>
      <c r="AC337" s="114"/>
      <c r="AD337" s="114"/>
      <c r="AE337" s="114"/>
      <c r="AF337" s="114"/>
      <c r="AG337" s="114"/>
    </row>
    <row r="338" spans="1:33" s="113" customFormat="1">
      <c r="A338" s="119"/>
      <c r="B338" s="122"/>
      <c r="C338" s="121"/>
      <c r="D338" s="121"/>
      <c r="E338" s="121"/>
      <c r="F338" s="121"/>
      <c r="G338" s="121"/>
      <c r="H338" s="121"/>
      <c r="I338" s="121"/>
      <c r="J338" s="121"/>
      <c r="K338" s="121"/>
      <c r="L338" s="121"/>
      <c r="M338" s="121"/>
      <c r="N338" s="121"/>
      <c r="O338" s="114"/>
      <c r="P338" s="114"/>
      <c r="Q338" s="114"/>
      <c r="S338" s="114"/>
      <c r="T338" s="114"/>
      <c r="U338" s="114"/>
      <c r="V338" s="114"/>
      <c r="W338" s="114"/>
      <c r="X338" s="114"/>
      <c r="Y338" s="114"/>
      <c r="Z338" s="114"/>
      <c r="AA338" s="114"/>
      <c r="AB338" s="114"/>
      <c r="AC338" s="114"/>
      <c r="AD338" s="114"/>
      <c r="AE338" s="114"/>
      <c r="AF338" s="114"/>
      <c r="AG338" s="114"/>
    </row>
    <row r="339" spans="1:33" s="113" customFormat="1">
      <c r="A339" s="119"/>
      <c r="B339" s="122"/>
      <c r="C339" s="121"/>
      <c r="D339" s="121"/>
      <c r="E339" s="121"/>
      <c r="F339" s="121"/>
      <c r="G339" s="121"/>
      <c r="H339" s="121"/>
      <c r="I339" s="121"/>
      <c r="J339" s="121"/>
      <c r="K339" s="121"/>
      <c r="L339" s="121"/>
      <c r="M339" s="121"/>
      <c r="N339" s="121"/>
      <c r="O339" s="114"/>
      <c r="P339" s="114"/>
      <c r="Q339" s="114"/>
      <c r="S339" s="114"/>
      <c r="T339" s="114"/>
      <c r="U339" s="114"/>
      <c r="V339" s="114"/>
      <c r="W339" s="114"/>
      <c r="X339" s="114"/>
      <c r="Y339" s="114"/>
      <c r="Z339" s="114"/>
      <c r="AA339" s="114"/>
      <c r="AB339" s="114"/>
      <c r="AC339" s="114"/>
      <c r="AD339" s="114"/>
      <c r="AE339" s="114"/>
      <c r="AF339" s="114"/>
      <c r="AG339" s="114"/>
    </row>
    <row r="340" spans="1:33" s="113" customFormat="1">
      <c r="A340" s="119"/>
      <c r="B340" s="122"/>
      <c r="C340" s="121"/>
      <c r="D340" s="121"/>
      <c r="E340" s="121"/>
      <c r="F340" s="121"/>
      <c r="G340" s="121"/>
      <c r="H340" s="121"/>
      <c r="I340" s="121"/>
      <c r="J340" s="121"/>
      <c r="K340" s="121"/>
      <c r="L340" s="121"/>
      <c r="M340" s="121"/>
      <c r="N340" s="121"/>
      <c r="O340" s="114"/>
      <c r="P340" s="114"/>
      <c r="Q340" s="114"/>
      <c r="S340" s="114"/>
      <c r="T340" s="114"/>
      <c r="U340" s="114"/>
      <c r="V340" s="114"/>
      <c r="W340" s="114"/>
      <c r="X340" s="114"/>
      <c r="Y340" s="114"/>
      <c r="Z340" s="114"/>
      <c r="AA340" s="114"/>
      <c r="AB340" s="114"/>
      <c r="AC340" s="114"/>
      <c r="AD340" s="114"/>
      <c r="AE340" s="114"/>
      <c r="AF340" s="114"/>
      <c r="AG340" s="114"/>
    </row>
    <row r="341" spans="1:33" s="113" customFormat="1">
      <c r="A341" s="119"/>
      <c r="B341" s="122"/>
      <c r="C341" s="121"/>
      <c r="D341" s="121"/>
      <c r="E341" s="121"/>
      <c r="F341" s="121"/>
      <c r="G341" s="121"/>
      <c r="H341" s="121"/>
      <c r="I341" s="121"/>
      <c r="J341" s="121"/>
      <c r="K341" s="121"/>
      <c r="L341" s="121"/>
      <c r="M341" s="121"/>
      <c r="N341" s="121"/>
      <c r="O341" s="114"/>
      <c r="P341" s="114"/>
      <c r="Q341" s="114"/>
      <c r="S341" s="114"/>
      <c r="T341" s="114"/>
      <c r="U341" s="114"/>
      <c r="V341" s="114"/>
      <c r="W341" s="114"/>
      <c r="X341" s="114"/>
      <c r="Y341" s="114"/>
      <c r="Z341" s="114"/>
      <c r="AA341" s="114"/>
      <c r="AB341" s="114"/>
      <c r="AC341" s="114"/>
      <c r="AD341" s="114"/>
      <c r="AE341" s="114"/>
      <c r="AF341" s="114"/>
      <c r="AG341" s="114"/>
    </row>
    <row r="342" spans="1:33" s="113" customFormat="1">
      <c r="A342" s="119"/>
      <c r="B342" s="122"/>
      <c r="C342" s="121"/>
      <c r="D342" s="121"/>
      <c r="E342" s="121"/>
      <c r="F342" s="121"/>
      <c r="G342" s="121"/>
      <c r="H342" s="121"/>
      <c r="I342" s="121"/>
      <c r="J342" s="121"/>
      <c r="K342" s="121"/>
      <c r="L342" s="121"/>
      <c r="M342" s="121"/>
      <c r="N342" s="121"/>
      <c r="O342" s="114"/>
      <c r="P342" s="114"/>
      <c r="Q342" s="114"/>
      <c r="S342" s="114"/>
      <c r="T342" s="114"/>
      <c r="U342" s="114"/>
      <c r="V342" s="114"/>
      <c r="W342" s="114"/>
      <c r="X342" s="114"/>
      <c r="Y342" s="114"/>
      <c r="Z342" s="114"/>
      <c r="AA342" s="114"/>
      <c r="AB342" s="114"/>
      <c r="AC342" s="114"/>
      <c r="AD342" s="114"/>
      <c r="AE342" s="114"/>
      <c r="AF342" s="114"/>
      <c r="AG342" s="114"/>
    </row>
    <row r="343" spans="1:33" s="113" customFormat="1">
      <c r="A343" s="119"/>
      <c r="B343" s="122"/>
      <c r="C343" s="121"/>
      <c r="D343" s="121"/>
      <c r="E343" s="121"/>
      <c r="F343" s="121"/>
      <c r="G343" s="121"/>
      <c r="H343" s="121"/>
      <c r="I343" s="121"/>
      <c r="J343" s="121"/>
      <c r="K343" s="121"/>
      <c r="L343" s="121"/>
      <c r="M343" s="121"/>
      <c r="N343" s="121"/>
      <c r="O343" s="114"/>
      <c r="P343" s="114"/>
      <c r="Q343" s="114"/>
      <c r="S343" s="114"/>
      <c r="T343" s="114"/>
      <c r="U343" s="114"/>
      <c r="V343" s="114"/>
      <c r="W343" s="114"/>
      <c r="X343" s="114"/>
      <c r="Y343" s="114"/>
      <c r="Z343" s="114"/>
      <c r="AA343" s="114"/>
      <c r="AB343" s="114"/>
      <c r="AC343" s="114"/>
      <c r="AD343" s="114"/>
      <c r="AE343" s="114"/>
      <c r="AF343" s="114"/>
      <c r="AG343" s="114"/>
    </row>
    <row r="344" spans="1:33" s="113" customFormat="1">
      <c r="A344" s="119"/>
      <c r="B344" s="122"/>
      <c r="C344" s="121"/>
      <c r="D344" s="121"/>
      <c r="E344" s="121"/>
      <c r="F344" s="121"/>
      <c r="G344" s="121"/>
      <c r="H344" s="121"/>
      <c r="I344" s="121"/>
      <c r="J344" s="121"/>
      <c r="K344" s="121"/>
      <c r="L344" s="121"/>
      <c r="M344" s="121"/>
      <c r="N344" s="121"/>
      <c r="O344" s="114"/>
      <c r="P344" s="114"/>
      <c r="Q344" s="114"/>
      <c r="S344" s="114"/>
      <c r="T344" s="114"/>
      <c r="U344" s="114"/>
      <c r="V344" s="114"/>
      <c r="W344" s="114"/>
      <c r="X344" s="114"/>
      <c r="Y344" s="114"/>
      <c r="Z344" s="114"/>
      <c r="AA344" s="114"/>
      <c r="AB344" s="114"/>
      <c r="AC344" s="114"/>
      <c r="AD344" s="114"/>
      <c r="AE344" s="114"/>
      <c r="AF344" s="114"/>
      <c r="AG344" s="114"/>
    </row>
    <row r="345" spans="1:33" s="113" customFormat="1">
      <c r="A345" s="119"/>
      <c r="B345" s="122"/>
      <c r="C345" s="121"/>
      <c r="D345" s="121"/>
      <c r="E345" s="121"/>
      <c r="F345" s="121"/>
      <c r="G345" s="121"/>
      <c r="H345" s="121"/>
      <c r="I345" s="121"/>
      <c r="J345" s="121"/>
      <c r="K345" s="121"/>
      <c r="L345" s="121"/>
      <c r="M345" s="121"/>
      <c r="N345" s="121"/>
      <c r="O345" s="114"/>
      <c r="P345" s="114"/>
      <c r="Q345" s="114"/>
      <c r="S345" s="114"/>
      <c r="T345" s="114"/>
      <c r="U345" s="114"/>
      <c r="V345" s="114"/>
      <c r="W345" s="114"/>
      <c r="X345" s="114"/>
      <c r="Y345" s="114"/>
      <c r="Z345" s="114"/>
      <c r="AA345" s="114"/>
      <c r="AB345" s="114"/>
      <c r="AC345" s="114"/>
      <c r="AD345" s="114"/>
      <c r="AE345" s="114"/>
      <c r="AF345" s="114"/>
      <c r="AG345" s="114"/>
    </row>
    <row r="346" spans="1:33" s="113" customFormat="1">
      <c r="A346" s="119"/>
      <c r="B346" s="122"/>
      <c r="C346" s="121"/>
      <c r="D346" s="121"/>
      <c r="E346" s="121"/>
      <c r="F346" s="121"/>
      <c r="G346" s="121"/>
      <c r="H346" s="121"/>
      <c r="I346" s="121"/>
      <c r="J346" s="121"/>
      <c r="K346" s="121"/>
      <c r="L346" s="121"/>
      <c r="M346" s="121"/>
      <c r="N346" s="121"/>
      <c r="O346" s="114"/>
      <c r="P346" s="114"/>
      <c r="Q346" s="114"/>
      <c r="S346" s="114"/>
      <c r="T346" s="114"/>
      <c r="U346" s="114"/>
      <c r="V346" s="114"/>
      <c r="W346" s="114"/>
      <c r="X346" s="114"/>
      <c r="Y346" s="114"/>
      <c r="Z346" s="114"/>
      <c r="AA346" s="114"/>
      <c r="AB346" s="114"/>
      <c r="AC346" s="114"/>
      <c r="AD346" s="114"/>
      <c r="AE346" s="114"/>
      <c r="AF346" s="114"/>
      <c r="AG346" s="114"/>
    </row>
    <row r="347" spans="1:33" s="113" customFormat="1">
      <c r="A347" s="119"/>
      <c r="B347" s="122"/>
      <c r="C347" s="121"/>
      <c r="D347" s="121"/>
      <c r="E347" s="121"/>
      <c r="F347" s="121"/>
      <c r="G347" s="121"/>
      <c r="H347" s="121"/>
      <c r="I347" s="121"/>
      <c r="J347" s="121"/>
      <c r="K347" s="121"/>
      <c r="L347" s="121"/>
      <c r="M347" s="121"/>
      <c r="N347" s="121"/>
      <c r="O347" s="114"/>
      <c r="P347" s="114"/>
      <c r="Q347" s="114"/>
      <c r="S347" s="114"/>
      <c r="T347" s="114"/>
      <c r="U347" s="114"/>
      <c r="V347" s="114"/>
      <c r="W347" s="114"/>
      <c r="X347" s="114"/>
      <c r="Y347" s="114"/>
      <c r="Z347" s="114"/>
      <c r="AA347" s="114"/>
      <c r="AB347" s="114"/>
      <c r="AC347" s="114"/>
      <c r="AD347" s="114"/>
      <c r="AE347" s="114"/>
      <c r="AF347" s="114"/>
      <c r="AG347" s="114"/>
    </row>
    <row r="348" spans="1:33" s="113" customFormat="1">
      <c r="A348" s="119"/>
      <c r="B348" s="122"/>
      <c r="C348" s="121"/>
      <c r="D348" s="121"/>
      <c r="E348" s="121"/>
      <c r="F348" s="121"/>
      <c r="G348" s="121"/>
      <c r="H348" s="121"/>
      <c r="I348" s="121"/>
      <c r="J348" s="121"/>
      <c r="K348" s="121"/>
      <c r="L348" s="121"/>
      <c r="M348" s="121"/>
      <c r="N348" s="121"/>
      <c r="O348" s="114"/>
      <c r="P348" s="114"/>
      <c r="Q348" s="114"/>
      <c r="S348" s="114"/>
      <c r="T348" s="114"/>
      <c r="U348" s="114"/>
      <c r="V348" s="114"/>
      <c r="W348" s="114"/>
      <c r="X348" s="114"/>
      <c r="Y348" s="114"/>
      <c r="Z348" s="114"/>
      <c r="AA348" s="114"/>
      <c r="AB348" s="114"/>
      <c r="AC348" s="114"/>
      <c r="AD348" s="114"/>
      <c r="AE348" s="114"/>
      <c r="AF348" s="114"/>
      <c r="AG348" s="114"/>
    </row>
    <row r="349" spans="1:33" s="113" customFormat="1">
      <c r="A349" s="119"/>
      <c r="B349" s="122"/>
      <c r="C349" s="121"/>
      <c r="D349" s="121"/>
      <c r="E349" s="121"/>
      <c r="F349" s="121"/>
      <c r="G349" s="121"/>
      <c r="H349" s="121"/>
      <c r="I349" s="121"/>
      <c r="J349" s="121"/>
      <c r="K349" s="121"/>
      <c r="L349" s="121"/>
      <c r="M349" s="121"/>
      <c r="N349" s="121"/>
      <c r="O349" s="114"/>
      <c r="P349" s="114"/>
      <c r="Q349" s="114"/>
      <c r="S349" s="114"/>
      <c r="T349" s="114"/>
      <c r="U349" s="114"/>
      <c r="V349" s="114"/>
      <c r="W349" s="114"/>
      <c r="X349" s="114"/>
      <c r="Y349" s="114"/>
      <c r="Z349" s="114"/>
      <c r="AA349" s="114"/>
      <c r="AB349" s="114"/>
      <c r="AC349" s="114"/>
      <c r="AD349" s="114"/>
      <c r="AE349" s="114"/>
      <c r="AF349" s="114"/>
      <c r="AG349" s="114"/>
    </row>
    <row r="350" spans="1:33" s="113" customFormat="1">
      <c r="A350" s="119"/>
      <c r="B350" s="122"/>
      <c r="C350" s="121"/>
      <c r="D350" s="121"/>
      <c r="E350" s="121"/>
      <c r="F350" s="121"/>
      <c r="G350" s="121"/>
      <c r="H350" s="121"/>
      <c r="I350" s="121"/>
      <c r="J350" s="121"/>
      <c r="K350" s="121"/>
      <c r="L350" s="121"/>
      <c r="M350" s="121"/>
      <c r="N350" s="121"/>
      <c r="O350" s="114"/>
      <c r="P350" s="114"/>
      <c r="Q350" s="114"/>
      <c r="S350" s="114"/>
      <c r="T350" s="114"/>
      <c r="U350" s="114"/>
      <c r="V350" s="114"/>
      <c r="W350" s="114"/>
      <c r="X350" s="114"/>
      <c r="Y350" s="114"/>
      <c r="Z350" s="114"/>
      <c r="AA350" s="114"/>
      <c r="AB350" s="114"/>
      <c r="AC350" s="114"/>
      <c r="AD350" s="114"/>
      <c r="AE350" s="114"/>
      <c r="AF350" s="114"/>
      <c r="AG350" s="114"/>
    </row>
    <row r="351" spans="1:33" s="113" customFormat="1">
      <c r="A351" s="119"/>
      <c r="B351" s="122"/>
      <c r="C351" s="121"/>
      <c r="D351" s="121"/>
      <c r="E351" s="121"/>
      <c r="F351" s="121"/>
      <c r="G351" s="121"/>
      <c r="H351" s="121"/>
      <c r="I351" s="121"/>
      <c r="J351" s="121"/>
      <c r="K351" s="121"/>
      <c r="L351" s="121"/>
      <c r="M351" s="121"/>
      <c r="N351" s="121"/>
      <c r="O351" s="114"/>
      <c r="P351" s="114"/>
      <c r="Q351" s="114"/>
      <c r="S351" s="114"/>
      <c r="T351" s="114"/>
      <c r="U351" s="114"/>
      <c r="V351" s="114"/>
      <c r="W351" s="114"/>
      <c r="X351" s="114"/>
      <c r="Y351" s="114"/>
      <c r="Z351" s="114"/>
      <c r="AA351" s="114"/>
      <c r="AB351" s="114"/>
      <c r="AC351" s="114"/>
      <c r="AD351" s="114"/>
      <c r="AE351" s="114"/>
      <c r="AF351" s="114"/>
      <c r="AG351" s="114"/>
    </row>
    <row r="352" spans="1:33" s="113" customFormat="1">
      <c r="A352" s="119"/>
      <c r="B352" s="122"/>
      <c r="C352" s="121"/>
      <c r="D352" s="121"/>
      <c r="E352" s="121"/>
      <c r="F352" s="121"/>
      <c r="G352" s="121"/>
      <c r="H352" s="121"/>
      <c r="I352" s="121"/>
      <c r="J352" s="121"/>
      <c r="K352" s="121"/>
      <c r="L352" s="121"/>
      <c r="M352" s="121"/>
      <c r="N352" s="121"/>
      <c r="O352" s="114"/>
      <c r="P352" s="114"/>
      <c r="Q352" s="114"/>
      <c r="S352" s="114"/>
      <c r="T352" s="114"/>
      <c r="U352" s="114"/>
      <c r="V352" s="114"/>
      <c r="W352" s="114"/>
      <c r="X352" s="114"/>
      <c r="Y352" s="114"/>
      <c r="Z352" s="114"/>
      <c r="AA352" s="114"/>
      <c r="AB352" s="114"/>
      <c r="AC352" s="114"/>
      <c r="AD352" s="114"/>
      <c r="AE352" s="114"/>
      <c r="AF352" s="114"/>
      <c r="AG352" s="114"/>
    </row>
    <row r="353" spans="1:33" s="113" customFormat="1">
      <c r="A353" s="119"/>
      <c r="B353" s="122"/>
      <c r="C353" s="121"/>
      <c r="D353" s="121"/>
      <c r="E353" s="121"/>
      <c r="F353" s="121"/>
      <c r="G353" s="121"/>
      <c r="H353" s="121"/>
      <c r="I353" s="121"/>
      <c r="J353" s="121"/>
      <c r="K353" s="121"/>
      <c r="L353" s="121"/>
      <c r="M353" s="121"/>
      <c r="N353" s="121"/>
      <c r="O353" s="114"/>
      <c r="P353" s="114"/>
      <c r="Q353" s="114"/>
      <c r="S353" s="114"/>
      <c r="T353" s="114"/>
      <c r="U353" s="114"/>
      <c r="V353" s="114"/>
      <c r="W353" s="114"/>
      <c r="X353" s="114"/>
      <c r="Y353" s="114"/>
      <c r="Z353" s="114"/>
      <c r="AA353" s="114"/>
      <c r="AB353" s="114"/>
      <c r="AC353" s="114"/>
      <c r="AD353" s="114"/>
      <c r="AE353" s="114"/>
      <c r="AF353" s="114"/>
      <c r="AG353" s="114"/>
    </row>
    <row r="354" spans="1:33" s="113" customFormat="1">
      <c r="A354" s="119"/>
      <c r="B354" s="122"/>
      <c r="C354" s="121"/>
      <c r="D354" s="121"/>
      <c r="E354" s="121"/>
      <c r="F354" s="121"/>
      <c r="G354" s="121"/>
      <c r="H354" s="121"/>
      <c r="I354" s="121"/>
      <c r="J354" s="121"/>
      <c r="K354" s="121"/>
      <c r="L354" s="121"/>
      <c r="M354" s="121"/>
      <c r="N354" s="121"/>
      <c r="O354" s="114"/>
      <c r="P354" s="114"/>
      <c r="Q354" s="114"/>
      <c r="S354" s="114"/>
      <c r="T354" s="114"/>
      <c r="U354" s="114"/>
      <c r="V354" s="114"/>
      <c r="W354" s="114"/>
      <c r="X354" s="114"/>
      <c r="Y354" s="114"/>
      <c r="Z354" s="114"/>
      <c r="AA354" s="114"/>
      <c r="AB354" s="114"/>
      <c r="AC354" s="114"/>
      <c r="AD354" s="114"/>
      <c r="AE354" s="114"/>
      <c r="AF354" s="114"/>
      <c r="AG354" s="114"/>
    </row>
    <row r="355" spans="1:33" s="113" customFormat="1">
      <c r="A355" s="119"/>
      <c r="B355" s="122"/>
      <c r="C355" s="121"/>
      <c r="D355" s="121"/>
      <c r="E355" s="121"/>
      <c r="F355" s="121"/>
      <c r="G355" s="121"/>
      <c r="H355" s="121"/>
      <c r="I355" s="121"/>
      <c r="J355" s="121"/>
      <c r="K355" s="121"/>
      <c r="L355" s="121"/>
      <c r="M355" s="121"/>
      <c r="N355" s="121"/>
      <c r="O355" s="114"/>
      <c r="P355" s="114"/>
      <c r="Q355" s="114"/>
      <c r="S355" s="114"/>
      <c r="T355" s="114"/>
      <c r="U355" s="114"/>
      <c r="V355" s="114"/>
      <c r="W355" s="114"/>
      <c r="X355" s="114"/>
      <c r="Y355" s="114"/>
      <c r="Z355" s="114"/>
      <c r="AA355" s="114"/>
      <c r="AB355" s="114"/>
      <c r="AC355" s="114"/>
      <c r="AD355" s="114"/>
      <c r="AE355" s="114"/>
      <c r="AF355" s="114"/>
      <c r="AG355" s="114"/>
    </row>
    <row r="356" spans="1:33" s="113" customFormat="1">
      <c r="A356" s="119"/>
      <c r="B356" s="122"/>
      <c r="C356" s="121"/>
      <c r="D356" s="121"/>
      <c r="E356" s="121"/>
      <c r="F356" s="121"/>
      <c r="G356" s="121"/>
      <c r="H356" s="121"/>
      <c r="I356" s="121"/>
      <c r="J356" s="121"/>
      <c r="K356" s="121"/>
      <c r="L356" s="121"/>
      <c r="M356" s="121"/>
      <c r="N356" s="121"/>
      <c r="O356" s="114"/>
      <c r="P356" s="114"/>
      <c r="Q356" s="114"/>
      <c r="S356" s="114"/>
      <c r="T356" s="114"/>
      <c r="U356" s="114"/>
      <c r="V356" s="114"/>
      <c r="W356" s="114"/>
      <c r="X356" s="114"/>
      <c r="Y356" s="114"/>
      <c r="Z356" s="114"/>
      <c r="AA356" s="114"/>
      <c r="AB356" s="114"/>
      <c r="AC356" s="114"/>
      <c r="AD356" s="114"/>
      <c r="AE356" s="114"/>
      <c r="AF356" s="114"/>
      <c r="AG356" s="114"/>
    </row>
    <row r="357" spans="1:33" s="113" customFormat="1">
      <c r="A357" s="119"/>
      <c r="B357" s="122"/>
      <c r="C357" s="121"/>
      <c r="D357" s="121"/>
      <c r="E357" s="121"/>
      <c r="F357" s="121"/>
      <c r="G357" s="121"/>
      <c r="H357" s="121"/>
      <c r="I357" s="121"/>
      <c r="J357" s="121"/>
      <c r="K357" s="121"/>
      <c r="L357" s="121"/>
      <c r="M357" s="121"/>
      <c r="N357" s="121"/>
      <c r="O357" s="114"/>
      <c r="P357" s="114"/>
      <c r="Q357" s="114"/>
      <c r="S357" s="114"/>
      <c r="T357" s="114"/>
      <c r="U357" s="114"/>
      <c r="V357" s="114"/>
      <c r="W357" s="114"/>
      <c r="X357" s="114"/>
      <c r="Y357" s="114"/>
      <c r="Z357" s="114"/>
      <c r="AA357" s="114"/>
      <c r="AB357" s="114"/>
      <c r="AC357" s="114"/>
      <c r="AD357" s="114"/>
      <c r="AE357" s="114"/>
      <c r="AF357" s="114"/>
      <c r="AG357" s="114"/>
    </row>
    <row r="358" spans="1:33" s="113" customFormat="1">
      <c r="A358" s="119"/>
      <c r="B358" s="122"/>
      <c r="C358" s="121"/>
      <c r="D358" s="121"/>
      <c r="E358" s="121"/>
      <c r="F358" s="121"/>
      <c r="G358" s="121"/>
      <c r="H358" s="121"/>
      <c r="I358" s="121"/>
      <c r="J358" s="121"/>
      <c r="K358" s="121"/>
      <c r="L358" s="121"/>
      <c r="M358" s="121"/>
      <c r="N358" s="121"/>
      <c r="O358" s="114"/>
      <c r="P358" s="114"/>
      <c r="Q358" s="114"/>
      <c r="S358" s="114"/>
      <c r="T358" s="114"/>
      <c r="U358" s="114"/>
      <c r="V358" s="114"/>
      <c r="W358" s="114"/>
      <c r="X358" s="114"/>
      <c r="Y358" s="114"/>
      <c r="Z358" s="114"/>
      <c r="AA358" s="114"/>
      <c r="AB358" s="114"/>
      <c r="AC358" s="114"/>
      <c r="AD358" s="114"/>
      <c r="AE358" s="114"/>
      <c r="AF358" s="114"/>
      <c r="AG358" s="114"/>
    </row>
    <row r="359" spans="1:33" s="113" customFormat="1">
      <c r="A359" s="119"/>
      <c r="B359" s="122"/>
      <c r="C359" s="121"/>
      <c r="D359" s="121"/>
      <c r="E359" s="121"/>
      <c r="F359" s="121"/>
      <c r="G359" s="121"/>
      <c r="H359" s="121"/>
      <c r="I359" s="121"/>
      <c r="J359" s="121"/>
      <c r="K359" s="121"/>
      <c r="L359" s="121"/>
      <c r="M359" s="121"/>
      <c r="N359" s="121"/>
      <c r="O359" s="114"/>
      <c r="P359" s="114"/>
      <c r="Q359" s="114"/>
      <c r="S359" s="114"/>
      <c r="T359" s="114"/>
      <c r="U359" s="114"/>
      <c r="V359" s="114"/>
      <c r="W359" s="114"/>
      <c r="X359" s="114"/>
      <c r="Y359" s="114"/>
      <c r="Z359" s="114"/>
      <c r="AA359" s="114"/>
      <c r="AB359" s="114"/>
      <c r="AC359" s="114"/>
      <c r="AD359" s="114"/>
      <c r="AE359" s="114"/>
      <c r="AF359" s="114"/>
      <c r="AG359" s="114"/>
    </row>
    <row r="360" spans="1:33" s="113" customFormat="1">
      <c r="A360" s="119"/>
      <c r="B360" s="122"/>
      <c r="C360" s="121"/>
      <c r="D360" s="121"/>
      <c r="E360" s="121"/>
      <c r="F360" s="121"/>
      <c r="G360" s="121"/>
      <c r="H360" s="121"/>
      <c r="I360" s="121"/>
      <c r="J360" s="121"/>
      <c r="K360" s="121"/>
      <c r="L360" s="121"/>
      <c r="M360" s="121"/>
      <c r="N360" s="121"/>
      <c r="O360" s="114"/>
      <c r="P360" s="114"/>
      <c r="Q360" s="114"/>
      <c r="S360" s="114"/>
      <c r="T360" s="114"/>
      <c r="U360" s="114"/>
      <c r="V360" s="114"/>
      <c r="W360" s="114"/>
      <c r="X360" s="114"/>
      <c r="Y360" s="114"/>
      <c r="Z360" s="114"/>
      <c r="AA360" s="114"/>
      <c r="AB360" s="114"/>
      <c r="AC360" s="114"/>
      <c r="AD360" s="114"/>
      <c r="AE360" s="114"/>
      <c r="AF360" s="114"/>
      <c r="AG360" s="114"/>
    </row>
    <row r="361" spans="1:33" s="113" customFormat="1">
      <c r="A361" s="119"/>
      <c r="B361" s="122"/>
      <c r="C361" s="121"/>
      <c r="D361" s="121"/>
      <c r="E361" s="121"/>
      <c r="F361" s="121"/>
      <c r="G361" s="121"/>
      <c r="H361" s="121"/>
      <c r="I361" s="121"/>
      <c r="J361" s="121"/>
      <c r="K361" s="121"/>
      <c r="L361" s="121"/>
      <c r="M361" s="121"/>
      <c r="N361" s="121"/>
      <c r="O361" s="114"/>
      <c r="P361" s="114"/>
      <c r="Q361" s="114"/>
      <c r="S361" s="114"/>
      <c r="T361" s="114"/>
      <c r="U361" s="114"/>
      <c r="V361" s="114"/>
      <c r="W361" s="114"/>
      <c r="X361" s="114"/>
      <c r="Y361" s="114"/>
      <c r="Z361" s="114"/>
      <c r="AA361" s="114"/>
      <c r="AB361" s="114"/>
      <c r="AC361" s="114"/>
      <c r="AD361" s="114"/>
      <c r="AE361" s="114"/>
      <c r="AF361" s="114"/>
      <c r="AG361" s="114"/>
    </row>
    <row r="362" spans="1:33" s="113" customFormat="1">
      <c r="A362" s="119"/>
      <c r="B362" s="122"/>
      <c r="C362" s="121"/>
      <c r="D362" s="121"/>
      <c r="E362" s="121"/>
      <c r="F362" s="121"/>
      <c r="G362" s="121"/>
      <c r="H362" s="121"/>
      <c r="I362" s="121"/>
      <c r="J362" s="121"/>
      <c r="K362" s="121"/>
      <c r="L362" s="121"/>
      <c r="M362" s="121"/>
      <c r="N362" s="121"/>
      <c r="O362" s="114"/>
      <c r="P362" s="114"/>
      <c r="Q362" s="114"/>
      <c r="S362" s="114"/>
      <c r="T362" s="114"/>
      <c r="U362" s="114"/>
      <c r="V362" s="114"/>
      <c r="W362" s="114"/>
      <c r="X362" s="114"/>
      <c r="Y362" s="114"/>
      <c r="Z362" s="114"/>
      <c r="AA362" s="114"/>
      <c r="AB362" s="114"/>
      <c r="AC362" s="114"/>
      <c r="AD362" s="114"/>
      <c r="AE362" s="114"/>
      <c r="AF362" s="114"/>
      <c r="AG362" s="114"/>
    </row>
    <row r="363" spans="1:33" s="113" customFormat="1">
      <c r="A363" s="119"/>
      <c r="B363" s="122"/>
      <c r="C363" s="121"/>
      <c r="D363" s="121"/>
      <c r="E363" s="121"/>
      <c r="F363" s="121"/>
      <c r="G363" s="121"/>
      <c r="H363" s="121"/>
      <c r="I363" s="121"/>
      <c r="J363" s="121"/>
      <c r="K363" s="121"/>
      <c r="L363" s="121"/>
      <c r="M363" s="121"/>
      <c r="N363" s="121"/>
      <c r="O363" s="114"/>
      <c r="P363" s="114"/>
      <c r="Q363" s="114"/>
      <c r="S363" s="114"/>
      <c r="T363" s="114"/>
      <c r="U363" s="114"/>
      <c r="V363" s="114"/>
      <c r="W363" s="114"/>
      <c r="X363" s="114"/>
      <c r="Y363" s="114"/>
      <c r="Z363" s="114"/>
      <c r="AA363" s="114"/>
      <c r="AB363" s="114"/>
      <c r="AC363" s="114"/>
      <c r="AD363" s="114"/>
      <c r="AE363" s="114"/>
      <c r="AF363" s="114"/>
      <c r="AG363" s="114"/>
    </row>
    <row r="364" spans="1:33" s="113" customFormat="1">
      <c r="A364" s="119"/>
      <c r="B364" s="122"/>
      <c r="C364" s="121"/>
      <c r="D364" s="121"/>
      <c r="E364" s="121"/>
      <c r="F364" s="121"/>
      <c r="G364" s="121"/>
      <c r="H364" s="121"/>
      <c r="I364" s="121"/>
      <c r="J364" s="121"/>
      <c r="K364" s="121"/>
      <c r="L364" s="121"/>
      <c r="M364" s="121"/>
      <c r="N364" s="121"/>
      <c r="O364" s="114"/>
      <c r="P364" s="114"/>
      <c r="Q364" s="114"/>
      <c r="S364" s="114"/>
      <c r="T364" s="114"/>
      <c r="U364" s="114"/>
      <c r="V364" s="114"/>
      <c r="W364" s="114"/>
      <c r="X364" s="114"/>
      <c r="Y364" s="114"/>
      <c r="Z364" s="114"/>
      <c r="AA364" s="114"/>
      <c r="AB364" s="114"/>
      <c r="AC364" s="114"/>
      <c r="AD364" s="114"/>
      <c r="AE364" s="114"/>
      <c r="AF364" s="114"/>
      <c r="AG364" s="114"/>
    </row>
    <row r="365" spans="1:33" s="113" customFormat="1">
      <c r="A365" s="119"/>
      <c r="B365" s="122"/>
      <c r="C365" s="121"/>
      <c r="D365" s="121"/>
      <c r="E365" s="121"/>
      <c r="F365" s="121"/>
      <c r="G365" s="121"/>
      <c r="H365" s="121"/>
      <c r="I365" s="121"/>
      <c r="J365" s="121"/>
      <c r="K365" s="121"/>
      <c r="L365" s="121"/>
      <c r="M365" s="121"/>
      <c r="N365" s="121"/>
      <c r="O365" s="114"/>
      <c r="P365" s="114"/>
      <c r="Q365" s="114"/>
      <c r="S365" s="114"/>
      <c r="T365" s="114"/>
      <c r="U365" s="114"/>
      <c r="V365" s="114"/>
      <c r="W365" s="114"/>
      <c r="X365" s="114"/>
      <c r="Y365" s="114"/>
      <c r="Z365" s="114"/>
      <c r="AA365" s="114"/>
      <c r="AB365" s="114"/>
      <c r="AC365" s="114"/>
      <c r="AD365" s="114"/>
      <c r="AE365" s="114"/>
      <c r="AF365" s="114"/>
      <c r="AG365" s="114"/>
    </row>
    <row r="366" spans="1:33" s="113" customFormat="1">
      <c r="A366" s="119"/>
      <c r="B366" s="122"/>
      <c r="C366" s="121"/>
      <c r="D366" s="121"/>
      <c r="E366" s="121"/>
      <c r="F366" s="121"/>
      <c r="G366" s="121"/>
      <c r="H366" s="121"/>
      <c r="I366" s="121"/>
      <c r="J366" s="121"/>
      <c r="K366" s="121"/>
      <c r="L366" s="121"/>
      <c r="M366" s="121"/>
      <c r="N366" s="121"/>
      <c r="O366" s="114"/>
      <c r="P366" s="114"/>
      <c r="Q366" s="114"/>
      <c r="S366" s="114"/>
      <c r="T366" s="114"/>
      <c r="U366" s="114"/>
      <c r="V366" s="114"/>
      <c r="W366" s="114"/>
      <c r="X366" s="114"/>
      <c r="Y366" s="114"/>
      <c r="Z366" s="114"/>
      <c r="AA366" s="114"/>
      <c r="AB366" s="114"/>
      <c r="AC366" s="114"/>
      <c r="AD366" s="114"/>
      <c r="AE366" s="114"/>
      <c r="AF366" s="114"/>
      <c r="AG366" s="114"/>
    </row>
    <row r="367" spans="1:33" s="113" customFormat="1">
      <c r="A367" s="119"/>
      <c r="B367" s="122"/>
      <c r="C367" s="121"/>
      <c r="D367" s="121"/>
      <c r="E367" s="121"/>
      <c r="F367" s="121"/>
      <c r="G367" s="121"/>
      <c r="H367" s="121"/>
      <c r="I367" s="121"/>
      <c r="J367" s="121"/>
      <c r="K367" s="121"/>
      <c r="L367" s="121"/>
      <c r="M367" s="121"/>
      <c r="N367" s="121"/>
      <c r="O367" s="114"/>
      <c r="P367" s="114"/>
      <c r="Q367" s="114"/>
      <c r="S367" s="114"/>
      <c r="T367" s="114"/>
      <c r="U367" s="114"/>
      <c r="V367" s="114"/>
      <c r="W367" s="114"/>
      <c r="X367" s="114"/>
      <c r="Y367" s="114"/>
      <c r="Z367" s="114"/>
      <c r="AA367" s="114"/>
      <c r="AB367" s="114"/>
      <c r="AC367" s="114"/>
      <c r="AD367" s="114"/>
      <c r="AE367" s="114"/>
      <c r="AF367" s="114"/>
      <c r="AG367" s="114"/>
    </row>
    <row r="368" spans="1:33" s="113" customFormat="1">
      <c r="A368" s="119"/>
      <c r="B368" s="122"/>
      <c r="C368" s="121"/>
      <c r="D368" s="121"/>
      <c r="E368" s="121"/>
      <c r="F368" s="121"/>
      <c r="G368" s="121"/>
      <c r="H368" s="121"/>
      <c r="I368" s="121"/>
      <c r="J368" s="121"/>
      <c r="K368" s="121"/>
      <c r="L368" s="121"/>
      <c r="M368" s="121"/>
      <c r="N368" s="121"/>
      <c r="O368" s="114"/>
      <c r="P368" s="114"/>
      <c r="Q368" s="114"/>
      <c r="S368" s="114"/>
      <c r="T368" s="114"/>
      <c r="U368" s="114"/>
      <c r="V368" s="114"/>
      <c r="W368" s="114"/>
      <c r="X368" s="114"/>
      <c r="Y368" s="114"/>
      <c r="Z368" s="114"/>
      <c r="AA368" s="114"/>
      <c r="AB368" s="114"/>
      <c r="AC368" s="114"/>
      <c r="AD368" s="114"/>
      <c r="AE368" s="114"/>
      <c r="AF368" s="114"/>
      <c r="AG368" s="114"/>
    </row>
    <row r="369" spans="1:33" s="113" customFormat="1">
      <c r="A369" s="119"/>
      <c r="B369" s="122"/>
      <c r="C369" s="121"/>
      <c r="D369" s="121"/>
      <c r="E369" s="121"/>
      <c r="F369" s="121"/>
      <c r="G369" s="121"/>
      <c r="H369" s="121"/>
      <c r="I369" s="121"/>
      <c r="J369" s="121"/>
      <c r="K369" s="121"/>
      <c r="L369" s="121"/>
      <c r="M369" s="121"/>
      <c r="N369" s="121"/>
      <c r="O369" s="114"/>
      <c r="P369" s="114"/>
      <c r="Q369" s="114"/>
      <c r="S369" s="114"/>
      <c r="T369" s="114"/>
      <c r="U369" s="114"/>
      <c r="V369" s="114"/>
      <c r="W369" s="114"/>
      <c r="X369" s="114"/>
      <c r="Y369" s="114"/>
      <c r="Z369" s="114"/>
      <c r="AA369" s="114"/>
      <c r="AB369" s="114"/>
      <c r="AC369" s="114"/>
      <c r="AD369" s="114"/>
      <c r="AE369" s="114"/>
      <c r="AF369" s="114"/>
      <c r="AG369" s="114"/>
    </row>
    <row r="370" spans="1:33" s="113" customFormat="1">
      <c r="A370" s="119"/>
      <c r="B370" s="122"/>
      <c r="C370" s="121"/>
      <c r="D370" s="121"/>
      <c r="E370" s="121"/>
      <c r="F370" s="121"/>
      <c r="G370" s="121"/>
      <c r="H370" s="121"/>
      <c r="I370" s="121"/>
      <c r="J370" s="121"/>
      <c r="K370" s="121"/>
      <c r="L370" s="121"/>
      <c r="M370" s="121"/>
      <c r="N370" s="121"/>
      <c r="O370" s="114"/>
      <c r="P370" s="114"/>
      <c r="Q370" s="114"/>
      <c r="S370" s="114"/>
      <c r="T370" s="114"/>
      <c r="U370" s="114"/>
      <c r="V370" s="114"/>
      <c r="W370" s="114"/>
      <c r="X370" s="114"/>
      <c r="Y370" s="114"/>
      <c r="Z370" s="114"/>
      <c r="AA370" s="114"/>
      <c r="AB370" s="114"/>
      <c r="AC370" s="114"/>
      <c r="AD370" s="114"/>
      <c r="AE370" s="114"/>
      <c r="AF370" s="114"/>
      <c r="AG370" s="114"/>
    </row>
    <row r="371" spans="1:33" s="113" customFormat="1">
      <c r="A371" s="119"/>
      <c r="B371" s="122"/>
      <c r="C371" s="121"/>
      <c r="D371" s="121"/>
      <c r="E371" s="121"/>
      <c r="F371" s="121"/>
      <c r="G371" s="121"/>
      <c r="H371" s="121"/>
      <c r="I371" s="121"/>
      <c r="J371" s="121"/>
      <c r="K371" s="121"/>
      <c r="L371" s="121"/>
      <c r="M371" s="121"/>
      <c r="N371" s="121"/>
      <c r="O371" s="114"/>
      <c r="P371" s="114"/>
      <c r="Q371" s="114"/>
      <c r="S371" s="114"/>
      <c r="T371" s="114"/>
      <c r="U371" s="114"/>
      <c r="V371" s="114"/>
      <c r="W371" s="114"/>
      <c r="X371" s="114"/>
      <c r="Y371" s="114"/>
      <c r="Z371" s="114"/>
      <c r="AA371" s="114"/>
      <c r="AB371" s="114"/>
      <c r="AC371" s="114"/>
      <c r="AD371" s="114"/>
      <c r="AE371" s="114"/>
      <c r="AF371" s="114"/>
      <c r="AG371" s="114"/>
    </row>
    <row r="372" spans="1:33" s="113" customFormat="1">
      <c r="A372" s="119"/>
      <c r="B372" s="122"/>
      <c r="C372" s="121"/>
      <c r="D372" s="121"/>
      <c r="E372" s="121"/>
      <c r="F372" s="121"/>
      <c r="G372" s="121"/>
      <c r="H372" s="121"/>
      <c r="I372" s="121"/>
      <c r="J372" s="121"/>
      <c r="K372" s="121"/>
      <c r="L372" s="121"/>
      <c r="M372" s="121"/>
      <c r="N372" s="121"/>
      <c r="O372" s="114"/>
      <c r="P372" s="114"/>
      <c r="Q372" s="114"/>
      <c r="S372" s="114"/>
      <c r="T372" s="114"/>
      <c r="U372" s="114"/>
      <c r="V372" s="114"/>
      <c r="W372" s="114"/>
      <c r="X372" s="114"/>
      <c r="Y372" s="114"/>
      <c r="Z372" s="114"/>
      <c r="AA372" s="114"/>
      <c r="AB372" s="114"/>
      <c r="AC372" s="114"/>
      <c r="AD372" s="114"/>
      <c r="AE372" s="114"/>
      <c r="AF372" s="114"/>
      <c r="AG372" s="114"/>
    </row>
    <row r="373" spans="1:33" s="113" customFormat="1">
      <c r="A373" s="119"/>
      <c r="B373" s="122"/>
      <c r="C373" s="121"/>
      <c r="D373" s="121"/>
      <c r="E373" s="121"/>
      <c r="F373" s="121"/>
      <c r="G373" s="121"/>
      <c r="H373" s="121"/>
      <c r="I373" s="121"/>
      <c r="J373" s="121"/>
      <c r="K373" s="121"/>
      <c r="L373" s="121"/>
      <c r="M373" s="121"/>
      <c r="N373" s="121"/>
      <c r="O373" s="114"/>
      <c r="P373" s="114"/>
      <c r="Q373" s="114"/>
      <c r="S373" s="114"/>
      <c r="T373" s="114"/>
      <c r="U373" s="114"/>
      <c r="V373" s="114"/>
      <c r="W373" s="114"/>
      <c r="X373" s="114"/>
      <c r="Y373" s="114"/>
      <c r="Z373" s="114"/>
      <c r="AA373" s="114"/>
      <c r="AB373" s="114"/>
      <c r="AC373" s="114"/>
      <c r="AD373" s="114"/>
      <c r="AE373" s="114"/>
      <c r="AF373" s="114"/>
      <c r="AG373" s="114"/>
    </row>
    <row r="374" spans="1:33" s="113" customFormat="1">
      <c r="A374" s="119"/>
      <c r="B374" s="122"/>
      <c r="C374" s="121"/>
      <c r="D374" s="121"/>
      <c r="E374" s="121"/>
      <c r="F374" s="121"/>
      <c r="G374" s="121"/>
      <c r="H374" s="121"/>
      <c r="I374" s="121"/>
      <c r="J374" s="121"/>
      <c r="K374" s="121"/>
      <c r="L374" s="121"/>
      <c r="M374" s="121"/>
      <c r="N374" s="121"/>
      <c r="O374" s="114"/>
      <c r="P374" s="114"/>
      <c r="Q374" s="114"/>
      <c r="S374" s="114"/>
      <c r="T374" s="114"/>
      <c r="U374" s="114"/>
      <c r="V374" s="114"/>
      <c r="W374" s="114"/>
      <c r="X374" s="114"/>
      <c r="Y374" s="114"/>
      <c r="Z374" s="114"/>
      <c r="AA374" s="114"/>
      <c r="AB374" s="114"/>
      <c r="AC374" s="114"/>
      <c r="AD374" s="114"/>
      <c r="AE374" s="114"/>
      <c r="AF374" s="114"/>
      <c r="AG374" s="114"/>
    </row>
    <row r="375" spans="1:33" s="113" customFormat="1">
      <c r="A375" s="119"/>
      <c r="B375" s="122"/>
      <c r="C375" s="121"/>
      <c r="D375" s="121"/>
      <c r="E375" s="121"/>
      <c r="F375" s="121"/>
      <c r="G375" s="121"/>
      <c r="H375" s="121"/>
      <c r="I375" s="121"/>
      <c r="J375" s="121"/>
      <c r="K375" s="121"/>
      <c r="L375" s="121"/>
      <c r="M375" s="121"/>
      <c r="N375" s="121"/>
      <c r="O375" s="114"/>
      <c r="P375" s="114"/>
      <c r="Q375" s="114"/>
      <c r="S375" s="114"/>
      <c r="T375" s="114"/>
      <c r="U375" s="114"/>
      <c r="V375" s="114"/>
      <c r="W375" s="114"/>
      <c r="X375" s="114"/>
      <c r="Y375" s="114"/>
      <c r="Z375" s="114"/>
      <c r="AA375" s="114"/>
      <c r="AB375" s="114"/>
      <c r="AC375" s="114"/>
      <c r="AD375" s="114"/>
      <c r="AE375" s="114"/>
      <c r="AF375" s="114"/>
      <c r="AG375" s="114"/>
    </row>
    <row r="376" spans="1:33" s="113" customFormat="1">
      <c r="A376" s="119"/>
      <c r="B376" s="122"/>
      <c r="C376" s="121"/>
      <c r="D376" s="121"/>
      <c r="E376" s="121"/>
      <c r="F376" s="121"/>
      <c r="G376" s="121"/>
      <c r="H376" s="121"/>
      <c r="I376" s="121"/>
      <c r="J376" s="121"/>
      <c r="K376" s="121"/>
      <c r="L376" s="121"/>
      <c r="M376" s="121"/>
      <c r="N376" s="121"/>
      <c r="O376" s="114"/>
      <c r="P376" s="114"/>
      <c r="Q376" s="114"/>
      <c r="S376" s="114"/>
      <c r="T376" s="114"/>
      <c r="U376" s="114"/>
      <c r="V376" s="114"/>
      <c r="W376" s="114"/>
      <c r="X376" s="114"/>
      <c r="Y376" s="114"/>
      <c r="Z376" s="114"/>
      <c r="AA376" s="114"/>
      <c r="AB376" s="114"/>
      <c r="AC376" s="114"/>
      <c r="AD376" s="114"/>
      <c r="AE376" s="114"/>
      <c r="AF376" s="114"/>
      <c r="AG376" s="114"/>
    </row>
    <row r="377" spans="1:33" s="113" customFormat="1" hidden="1">
      <c r="A377" s="119"/>
      <c r="B377" s="122"/>
      <c r="C377" s="121"/>
      <c r="D377" s="121"/>
      <c r="E377" s="121"/>
      <c r="F377" s="121"/>
      <c r="G377" s="121"/>
      <c r="H377" s="121"/>
      <c r="I377" s="121"/>
      <c r="J377" s="121"/>
      <c r="K377" s="121"/>
      <c r="L377" s="121"/>
      <c r="M377" s="121"/>
      <c r="N377" s="121"/>
      <c r="O377" s="114"/>
      <c r="P377" s="114"/>
      <c r="Q377" s="114"/>
      <c r="S377" s="114"/>
      <c r="T377" s="114"/>
      <c r="U377" s="114"/>
      <c r="V377" s="114"/>
      <c r="W377" s="114"/>
      <c r="X377" s="114"/>
      <c r="Y377" s="114"/>
      <c r="Z377" s="114"/>
      <c r="AA377" s="114"/>
      <c r="AB377" s="114"/>
      <c r="AC377" s="114"/>
      <c r="AD377" s="114"/>
      <c r="AE377" s="114"/>
      <c r="AF377" s="114"/>
      <c r="AG377" s="114"/>
    </row>
    <row r="378" spans="1:33" s="113" customFormat="1">
      <c r="A378" s="119"/>
      <c r="B378" s="122"/>
      <c r="C378" s="121"/>
      <c r="D378" s="121"/>
      <c r="E378" s="121"/>
      <c r="F378" s="121"/>
      <c r="G378" s="121"/>
      <c r="H378" s="121"/>
      <c r="I378" s="121"/>
      <c r="J378" s="121"/>
      <c r="K378" s="121"/>
      <c r="L378" s="121"/>
      <c r="M378" s="121"/>
      <c r="N378" s="121"/>
      <c r="O378" s="114"/>
      <c r="P378" s="114"/>
      <c r="Q378" s="114"/>
      <c r="S378" s="114"/>
      <c r="T378" s="114"/>
      <c r="U378" s="114"/>
      <c r="V378" s="114"/>
      <c r="W378" s="114"/>
      <c r="X378" s="114"/>
      <c r="Y378" s="114"/>
      <c r="Z378" s="114"/>
      <c r="AA378" s="114"/>
      <c r="AB378" s="114"/>
      <c r="AC378" s="114"/>
      <c r="AD378" s="114"/>
      <c r="AE378" s="114"/>
      <c r="AF378" s="114"/>
      <c r="AG378" s="114"/>
    </row>
    <row r="379" spans="1:33" s="113" customFormat="1">
      <c r="A379" s="119"/>
      <c r="B379" s="122"/>
      <c r="C379" s="121"/>
      <c r="D379" s="121"/>
      <c r="E379" s="121"/>
      <c r="F379" s="121"/>
      <c r="G379" s="121"/>
      <c r="H379" s="121"/>
      <c r="I379" s="121"/>
      <c r="J379" s="121"/>
      <c r="K379" s="121"/>
      <c r="L379" s="121"/>
      <c r="M379" s="121"/>
      <c r="N379" s="121"/>
      <c r="O379" s="114"/>
      <c r="P379" s="114"/>
      <c r="Q379" s="114"/>
      <c r="S379" s="114"/>
      <c r="T379" s="114"/>
      <c r="U379" s="114"/>
      <c r="V379" s="114"/>
      <c r="W379" s="114"/>
      <c r="X379" s="114"/>
      <c r="Y379" s="114"/>
      <c r="Z379" s="114"/>
      <c r="AA379" s="114"/>
      <c r="AB379" s="114"/>
      <c r="AC379" s="114"/>
      <c r="AD379" s="114"/>
      <c r="AE379" s="114"/>
      <c r="AF379" s="114"/>
      <c r="AG379" s="114"/>
    </row>
    <row r="380" spans="1:33" s="113" customFormat="1">
      <c r="A380" s="119"/>
      <c r="B380" s="122"/>
      <c r="C380" s="121"/>
      <c r="D380" s="121"/>
      <c r="E380" s="121"/>
      <c r="F380" s="121"/>
      <c r="G380" s="121"/>
      <c r="H380" s="121"/>
      <c r="I380" s="121"/>
      <c r="J380" s="121"/>
      <c r="K380" s="121"/>
      <c r="L380" s="121"/>
      <c r="M380" s="121"/>
      <c r="N380" s="121"/>
      <c r="O380" s="114"/>
      <c r="P380" s="114"/>
      <c r="Q380" s="114"/>
      <c r="S380" s="114"/>
      <c r="T380" s="114"/>
      <c r="U380" s="114"/>
      <c r="V380" s="114"/>
      <c r="W380" s="114"/>
      <c r="X380" s="114"/>
      <c r="Y380" s="114"/>
      <c r="Z380" s="114"/>
      <c r="AA380" s="114"/>
      <c r="AB380" s="114"/>
      <c r="AC380" s="114"/>
      <c r="AD380" s="114"/>
      <c r="AE380" s="114"/>
      <c r="AF380" s="114"/>
      <c r="AG380" s="114"/>
    </row>
    <row r="381" spans="1:33" s="113" customFormat="1">
      <c r="A381" s="119"/>
      <c r="B381" s="122"/>
      <c r="C381" s="121"/>
      <c r="D381" s="121"/>
      <c r="E381" s="121"/>
      <c r="F381" s="121"/>
      <c r="G381" s="121"/>
      <c r="H381" s="121"/>
      <c r="I381" s="121"/>
      <c r="J381" s="121"/>
      <c r="K381" s="121"/>
      <c r="L381" s="121"/>
      <c r="M381" s="121"/>
      <c r="N381" s="121"/>
      <c r="O381" s="114"/>
      <c r="P381" s="114"/>
      <c r="Q381" s="114"/>
      <c r="S381" s="114"/>
      <c r="T381" s="114"/>
      <c r="U381" s="114"/>
      <c r="V381" s="114"/>
      <c r="W381" s="114"/>
      <c r="X381" s="114"/>
      <c r="Y381" s="114"/>
      <c r="Z381" s="114"/>
      <c r="AA381" s="114"/>
      <c r="AB381" s="114"/>
      <c r="AC381" s="114"/>
      <c r="AD381" s="114"/>
      <c r="AE381" s="114"/>
      <c r="AF381" s="114"/>
      <c r="AG381" s="114"/>
    </row>
    <row r="382" spans="1:33" s="113" customFormat="1">
      <c r="A382" s="119"/>
      <c r="B382" s="122"/>
      <c r="C382" s="121"/>
      <c r="D382" s="121"/>
      <c r="E382" s="121"/>
      <c r="F382" s="121"/>
      <c r="G382" s="121"/>
      <c r="H382" s="121"/>
      <c r="I382" s="121"/>
      <c r="J382" s="121"/>
      <c r="K382" s="121"/>
      <c r="L382" s="121"/>
      <c r="M382" s="121"/>
      <c r="N382" s="121"/>
      <c r="O382" s="114"/>
      <c r="P382" s="114"/>
      <c r="Q382" s="114"/>
      <c r="S382" s="114"/>
      <c r="T382" s="114"/>
      <c r="U382" s="114"/>
      <c r="V382" s="114"/>
      <c r="W382" s="114"/>
      <c r="X382" s="114"/>
      <c r="Y382" s="114"/>
      <c r="Z382" s="114"/>
      <c r="AA382" s="114"/>
      <c r="AB382" s="114"/>
      <c r="AC382" s="114"/>
      <c r="AD382" s="114"/>
      <c r="AE382" s="114"/>
      <c r="AF382" s="114"/>
      <c r="AG382" s="114"/>
    </row>
    <row r="383" spans="1:33" s="113" customFormat="1">
      <c r="A383" s="119"/>
      <c r="B383" s="122"/>
      <c r="C383" s="121"/>
      <c r="D383" s="121"/>
      <c r="E383" s="121"/>
      <c r="F383" s="121"/>
      <c r="G383" s="121"/>
      <c r="H383" s="121"/>
      <c r="I383" s="121"/>
      <c r="J383" s="121"/>
      <c r="K383" s="121"/>
      <c r="L383" s="121"/>
      <c r="M383" s="121"/>
      <c r="N383" s="121"/>
      <c r="O383" s="114"/>
      <c r="P383" s="114"/>
      <c r="Q383" s="114"/>
      <c r="S383" s="114"/>
      <c r="T383" s="114"/>
      <c r="U383" s="114"/>
      <c r="V383" s="114"/>
      <c r="W383" s="114"/>
      <c r="X383" s="114"/>
      <c r="Y383" s="114"/>
      <c r="Z383" s="114"/>
      <c r="AA383" s="114"/>
      <c r="AB383" s="114"/>
      <c r="AC383" s="114"/>
      <c r="AD383" s="114"/>
      <c r="AE383" s="114"/>
      <c r="AF383" s="114"/>
      <c r="AG383" s="114"/>
    </row>
    <row r="384" spans="1:33" s="113" customFormat="1">
      <c r="A384" s="119"/>
      <c r="B384" s="122"/>
      <c r="C384" s="121"/>
      <c r="D384" s="121"/>
      <c r="E384" s="121"/>
      <c r="F384" s="121"/>
      <c r="G384" s="121"/>
      <c r="H384" s="121"/>
      <c r="I384" s="121"/>
      <c r="J384" s="121"/>
      <c r="K384" s="121"/>
      <c r="L384" s="121"/>
      <c r="M384" s="121"/>
      <c r="N384" s="121"/>
      <c r="O384" s="114"/>
      <c r="P384" s="114"/>
      <c r="Q384" s="114"/>
      <c r="S384" s="114"/>
      <c r="T384" s="114"/>
      <c r="U384" s="114"/>
      <c r="V384" s="114"/>
      <c r="W384" s="114"/>
      <c r="X384" s="114"/>
      <c r="Y384" s="114"/>
      <c r="Z384" s="114"/>
      <c r="AA384" s="114"/>
      <c r="AB384" s="114"/>
      <c r="AC384" s="114"/>
      <c r="AD384" s="114"/>
      <c r="AE384" s="114"/>
      <c r="AF384" s="114"/>
      <c r="AG384" s="114"/>
    </row>
    <row r="385" spans="1:33" s="113" customFormat="1">
      <c r="A385" s="119"/>
      <c r="B385" s="122"/>
      <c r="C385" s="121"/>
      <c r="D385" s="121"/>
      <c r="E385" s="121"/>
      <c r="F385" s="121"/>
      <c r="G385" s="121"/>
      <c r="H385" s="121"/>
      <c r="I385" s="121"/>
      <c r="J385" s="121"/>
      <c r="K385" s="121"/>
      <c r="L385" s="121"/>
      <c r="M385" s="121"/>
      <c r="N385" s="121"/>
      <c r="O385" s="114"/>
      <c r="P385" s="114"/>
      <c r="Q385" s="114"/>
      <c r="S385" s="114"/>
      <c r="T385" s="114"/>
      <c r="U385" s="114"/>
      <c r="V385" s="114"/>
      <c r="W385" s="114"/>
      <c r="X385" s="114"/>
      <c r="Y385" s="114"/>
      <c r="Z385" s="114"/>
      <c r="AA385" s="114"/>
      <c r="AB385" s="114"/>
      <c r="AC385" s="114"/>
      <c r="AD385" s="114"/>
      <c r="AE385" s="114"/>
      <c r="AF385" s="114"/>
      <c r="AG385" s="114"/>
    </row>
    <row r="386" spans="1:33" s="113" customFormat="1">
      <c r="A386" s="119"/>
      <c r="B386" s="122"/>
      <c r="C386" s="121"/>
      <c r="D386" s="121"/>
      <c r="E386" s="121"/>
      <c r="F386" s="121"/>
      <c r="G386" s="121"/>
      <c r="H386" s="121"/>
      <c r="I386" s="121"/>
      <c r="J386" s="121"/>
      <c r="K386" s="121"/>
      <c r="L386" s="121"/>
      <c r="M386" s="121"/>
      <c r="N386" s="121"/>
      <c r="O386" s="114"/>
      <c r="P386" s="114"/>
      <c r="Q386" s="114"/>
      <c r="S386" s="114"/>
      <c r="T386" s="114"/>
      <c r="U386" s="114"/>
      <c r="V386" s="114"/>
      <c r="W386" s="114"/>
      <c r="X386" s="114"/>
      <c r="Y386" s="114"/>
      <c r="Z386" s="114"/>
      <c r="AA386" s="114"/>
      <c r="AB386" s="114"/>
      <c r="AC386" s="114"/>
      <c r="AD386" s="114"/>
      <c r="AE386" s="114"/>
      <c r="AF386" s="114"/>
      <c r="AG386" s="114"/>
    </row>
    <row r="387" spans="1:33" s="113" customFormat="1">
      <c r="A387" s="119"/>
      <c r="B387" s="122"/>
      <c r="C387" s="121"/>
      <c r="D387" s="121"/>
      <c r="E387" s="121"/>
      <c r="F387" s="121"/>
      <c r="G387" s="121"/>
      <c r="H387" s="121"/>
      <c r="I387" s="121"/>
      <c r="J387" s="121"/>
      <c r="K387" s="121"/>
      <c r="L387" s="121"/>
      <c r="M387" s="121"/>
      <c r="N387" s="121"/>
      <c r="O387" s="114"/>
      <c r="P387" s="114"/>
      <c r="Q387" s="114"/>
      <c r="S387" s="114"/>
      <c r="T387" s="114"/>
      <c r="U387" s="114"/>
      <c r="V387" s="114"/>
      <c r="W387" s="114"/>
      <c r="X387" s="114"/>
      <c r="Y387" s="114"/>
      <c r="Z387" s="114"/>
      <c r="AA387" s="114"/>
      <c r="AB387" s="114"/>
      <c r="AC387" s="114"/>
      <c r="AD387" s="114"/>
      <c r="AE387" s="114"/>
      <c r="AF387" s="114"/>
      <c r="AG387" s="114"/>
    </row>
    <row r="388" spans="1:33" s="113" customFormat="1">
      <c r="A388" s="119"/>
      <c r="B388" s="122"/>
      <c r="C388" s="121"/>
      <c r="D388" s="121"/>
      <c r="E388" s="121"/>
      <c r="F388" s="121"/>
      <c r="G388" s="121"/>
      <c r="H388" s="121"/>
      <c r="I388" s="121"/>
      <c r="J388" s="121"/>
      <c r="K388" s="121"/>
      <c r="L388" s="121"/>
      <c r="M388" s="121"/>
      <c r="N388" s="121"/>
      <c r="O388" s="114"/>
      <c r="P388" s="114"/>
      <c r="Q388" s="114"/>
      <c r="S388" s="114"/>
      <c r="T388" s="114"/>
      <c r="U388" s="114"/>
      <c r="V388" s="114"/>
      <c r="W388" s="114"/>
      <c r="X388" s="114"/>
      <c r="Y388" s="114"/>
      <c r="Z388" s="114"/>
      <c r="AA388" s="114"/>
      <c r="AB388" s="114"/>
      <c r="AC388" s="114"/>
      <c r="AD388" s="114"/>
      <c r="AE388" s="114"/>
      <c r="AF388" s="114"/>
      <c r="AG388" s="114"/>
    </row>
    <row r="389" spans="1:33" s="113" customFormat="1">
      <c r="A389" s="119"/>
      <c r="B389" s="122"/>
      <c r="C389" s="121"/>
      <c r="D389" s="121"/>
      <c r="E389" s="121"/>
      <c r="F389" s="121"/>
      <c r="G389" s="121"/>
      <c r="H389" s="121"/>
      <c r="I389" s="121"/>
      <c r="J389" s="121"/>
      <c r="K389" s="121"/>
      <c r="L389" s="121"/>
      <c r="M389" s="121"/>
      <c r="N389" s="121"/>
      <c r="O389" s="114"/>
      <c r="P389" s="114"/>
      <c r="Q389" s="114"/>
      <c r="S389" s="114"/>
      <c r="T389" s="114"/>
      <c r="U389" s="114"/>
      <c r="V389" s="114"/>
      <c r="W389" s="114"/>
      <c r="X389" s="114"/>
      <c r="Y389" s="114"/>
      <c r="Z389" s="114"/>
      <c r="AA389" s="114"/>
      <c r="AB389" s="114"/>
      <c r="AC389" s="114"/>
      <c r="AD389" s="114"/>
      <c r="AE389" s="114"/>
      <c r="AF389" s="114"/>
      <c r="AG389" s="114"/>
    </row>
    <row r="390" spans="1:33" s="113" customFormat="1">
      <c r="A390" s="119"/>
      <c r="B390" s="122"/>
      <c r="C390" s="121"/>
      <c r="D390" s="121"/>
      <c r="E390" s="121"/>
      <c r="F390" s="121"/>
      <c r="G390" s="121"/>
      <c r="H390" s="121"/>
      <c r="I390" s="121"/>
      <c r="J390" s="121"/>
      <c r="K390" s="121"/>
      <c r="L390" s="121"/>
      <c r="M390" s="121"/>
      <c r="N390" s="121"/>
      <c r="O390" s="114"/>
      <c r="P390" s="114"/>
      <c r="Q390" s="114"/>
      <c r="S390" s="114"/>
      <c r="T390" s="114"/>
      <c r="U390" s="114"/>
      <c r="V390" s="114"/>
      <c r="W390" s="114"/>
      <c r="X390" s="114"/>
      <c r="Y390" s="114"/>
      <c r="Z390" s="114"/>
      <c r="AA390" s="114"/>
      <c r="AB390" s="114"/>
      <c r="AC390" s="114"/>
      <c r="AD390" s="114"/>
      <c r="AE390" s="114"/>
      <c r="AF390" s="114"/>
      <c r="AG390" s="114"/>
    </row>
    <row r="391" spans="1:33" s="113" customFormat="1">
      <c r="A391" s="119"/>
      <c r="B391" s="122"/>
      <c r="C391" s="121"/>
      <c r="D391" s="121"/>
      <c r="E391" s="121"/>
      <c r="F391" s="121"/>
      <c r="G391" s="121"/>
      <c r="H391" s="121"/>
      <c r="I391" s="121"/>
      <c r="J391" s="121"/>
      <c r="K391" s="121"/>
      <c r="L391" s="121"/>
      <c r="M391" s="121"/>
      <c r="N391" s="121"/>
      <c r="O391" s="114"/>
      <c r="P391" s="114"/>
      <c r="Q391" s="114"/>
      <c r="S391" s="114"/>
      <c r="T391" s="114"/>
      <c r="U391" s="114"/>
      <c r="V391" s="114"/>
      <c r="W391" s="114"/>
      <c r="X391" s="114"/>
      <c r="Y391" s="114"/>
      <c r="Z391" s="114"/>
      <c r="AA391" s="114"/>
      <c r="AB391" s="114"/>
      <c r="AC391" s="114"/>
      <c r="AD391" s="114"/>
      <c r="AE391" s="114"/>
      <c r="AF391" s="114"/>
      <c r="AG391" s="114"/>
    </row>
    <row r="392" spans="1:33" s="113" customFormat="1">
      <c r="A392" s="119"/>
      <c r="B392" s="122"/>
      <c r="C392" s="121"/>
      <c r="D392" s="121"/>
      <c r="E392" s="121"/>
      <c r="F392" s="121"/>
      <c r="G392" s="121"/>
      <c r="H392" s="121"/>
      <c r="I392" s="121"/>
      <c r="J392" s="121"/>
      <c r="K392" s="121"/>
      <c r="L392" s="121"/>
      <c r="M392" s="121"/>
      <c r="N392" s="121"/>
      <c r="O392" s="114"/>
      <c r="P392" s="114"/>
      <c r="Q392" s="114"/>
      <c r="S392" s="114"/>
      <c r="T392" s="114"/>
      <c r="U392" s="114"/>
      <c r="V392" s="114"/>
      <c r="W392" s="114"/>
      <c r="X392" s="114"/>
      <c r="Y392" s="114"/>
      <c r="Z392" s="114"/>
      <c r="AA392" s="114"/>
      <c r="AB392" s="114"/>
      <c r="AC392" s="114"/>
      <c r="AD392" s="114"/>
      <c r="AE392" s="114"/>
      <c r="AF392" s="114"/>
      <c r="AG392" s="114"/>
    </row>
    <row r="393" spans="1:33" s="113" customFormat="1">
      <c r="A393" s="119"/>
      <c r="B393" s="122"/>
      <c r="C393" s="121"/>
      <c r="D393" s="121"/>
      <c r="E393" s="121"/>
      <c r="F393" s="121"/>
      <c r="G393" s="121"/>
      <c r="H393" s="121"/>
      <c r="I393" s="121"/>
      <c r="J393" s="121"/>
      <c r="K393" s="121"/>
      <c r="L393" s="121"/>
      <c r="M393" s="121"/>
      <c r="N393" s="121"/>
      <c r="O393" s="114"/>
      <c r="P393" s="114"/>
      <c r="Q393" s="114"/>
      <c r="S393" s="114"/>
      <c r="T393" s="114"/>
      <c r="U393" s="114"/>
      <c r="V393" s="114"/>
      <c r="W393" s="114"/>
      <c r="X393" s="114"/>
      <c r="Y393" s="114"/>
      <c r="Z393" s="114"/>
      <c r="AA393" s="114"/>
      <c r="AB393" s="114"/>
      <c r="AC393" s="114"/>
      <c r="AD393" s="114"/>
      <c r="AE393" s="114"/>
      <c r="AF393" s="114"/>
      <c r="AG393" s="114"/>
    </row>
    <row r="394" spans="1:33" s="113" customFormat="1">
      <c r="A394" s="119"/>
      <c r="B394" s="122"/>
      <c r="C394" s="121"/>
      <c r="D394" s="121"/>
      <c r="E394" s="121"/>
      <c r="F394" s="121"/>
      <c r="G394" s="121"/>
      <c r="H394" s="121"/>
      <c r="I394" s="121"/>
      <c r="J394" s="121"/>
      <c r="K394" s="121"/>
      <c r="L394" s="121"/>
      <c r="M394" s="121"/>
      <c r="N394" s="121"/>
      <c r="O394" s="114"/>
      <c r="P394" s="114"/>
      <c r="Q394" s="114"/>
      <c r="S394" s="114"/>
      <c r="T394" s="114"/>
      <c r="U394" s="114"/>
      <c r="V394" s="114"/>
      <c r="W394" s="114"/>
      <c r="X394" s="114"/>
      <c r="Y394" s="114"/>
      <c r="Z394" s="114"/>
      <c r="AA394" s="114"/>
      <c r="AB394" s="114"/>
      <c r="AC394" s="114"/>
      <c r="AD394" s="114"/>
      <c r="AE394" s="114"/>
      <c r="AF394" s="114"/>
      <c r="AG394" s="114"/>
    </row>
    <row r="395" spans="1:33" s="113" customFormat="1">
      <c r="A395" s="119"/>
      <c r="B395" s="122"/>
      <c r="C395" s="121"/>
      <c r="D395" s="121"/>
      <c r="E395" s="121"/>
      <c r="F395" s="121"/>
      <c r="G395" s="121"/>
      <c r="H395" s="121"/>
      <c r="I395" s="121"/>
      <c r="J395" s="121"/>
      <c r="K395" s="121"/>
      <c r="L395" s="121"/>
      <c r="M395" s="121"/>
      <c r="N395" s="121"/>
      <c r="O395" s="114"/>
      <c r="P395" s="114"/>
      <c r="Q395" s="114"/>
      <c r="S395" s="114"/>
      <c r="T395" s="114"/>
      <c r="U395" s="114"/>
      <c r="V395" s="114"/>
      <c r="W395" s="114"/>
      <c r="X395" s="114"/>
      <c r="Y395" s="114"/>
      <c r="Z395" s="114"/>
      <c r="AA395" s="114"/>
      <c r="AB395" s="114"/>
      <c r="AC395" s="114"/>
      <c r="AD395" s="114"/>
      <c r="AE395" s="114"/>
      <c r="AF395" s="114"/>
      <c r="AG395" s="114"/>
    </row>
    <row r="396" spans="1:33" s="113" customFormat="1">
      <c r="A396" s="119"/>
      <c r="B396" s="122"/>
      <c r="C396" s="121"/>
      <c r="D396" s="121"/>
      <c r="E396" s="121"/>
      <c r="F396" s="121"/>
      <c r="G396" s="121"/>
      <c r="H396" s="121"/>
      <c r="I396" s="121"/>
      <c r="J396" s="121"/>
      <c r="K396" s="121"/>
      <c r="L396" s="121"/>
      <c r="M396" s="121"/>
      <c r="N396" s="121"/>
      <c r="O396" s="114"/>
      <c r="P396" s="114"/>
      <c r="Q396" s="114"/>
      <c r="S396" s="114"/>
      <c r="T396" s="114"/>
      <c r="U396" s="114"/>
      <c r="V396" s="114"/>
      <c r="W396" s="114"/>
      <c r="X396" s="114"/>
      <c r="Y396" s="114"/>
      <c r="Z396" s="114"/>
      <c r="AA396" s="114"/>
      <c r="AB396" s="114"/>
      <c r="AC396" s="114"/>
      <c r="AD396" s="114"/>
      <c r="AE396" s="114"/>
      <c r="AF396" s="114"/>
      <c r="AG396" s="114"/>
    </row>
    <row r="397" spans="1:33" s="113" customFormat="1">
      <c r="A397" s="119"/>
      <c r="B397" s="122"/>
      <c r="C397" s="121"/>
      <c r="D397" s="121"/>
      <c r="E397" s="121"/>
      <c r="F397" s="121"/>
      <c r="G397" s="121"/>
      <c r="H397" s="121"/>
      <c r="I397" s="121"/>
      <c r="J397" s="121"/>
      <c r="K397" s="121"/>
      <c r="L397" s="121"/>
      <c r="M397" s="121"/>
      <c r="N397" s="121"/>
      <c r="O397" s="114"/>
      <c r="P397" s="114"/>
      <c r="Q397" s="114"/>
      <c r="S397" s="114"/>
      <c r="T397" s="114"/>
      <c r="U397" s="114"/>
      <c r="V397" s="114"/>
      <c r="W397" s="114"/>
      <c r="X397" s="114"/>
      <c r="Y397" s="114"/>
      <c r="Z397" s="114"/>
      <c r="AA397" s="114"/>
      <c r="AB397" s="114"/>
      <c r="AC397" s="114"/>
      <c r="AD397" s="114"/>
      <c r="AE397" s="114"/>
      <c r="AF397" s="114"/>
      <c r="AG397" s="114"/>
    </row>
    <row r="398" spans="1:33" s="113" customFormat="1">
      <c r="A398" s="119"/>
      <c r="B398" s="122"/>
      <c r="C398" s="121"/>
      <c r="D398" s="121"/>
      <c r="E398" s="121"/>
      <c r="F398" s="121"/>
      <c r="G398" s="121"/>
      <c r="H398" s="121"/>
      <c r="I398" s="121"/>
      <c r="J398" s="121"/>
      <c r="K398" s="121"/>
      <c r="L398" s="121"/>
      <c r="M398" s="121"/>
      <c r="N398" s="121"/>
      <c r="O398" s="114"/>
      <c r="P398" s="114"/>
      <c r="Q398" s="114"/>
      <c r="S398" s="114"/>
      <c r="T398" s="114"/>
      <c r="U398" s="114"/>
      <c r="V398" s="114"/>
      <c r="W398" s="114"/>
      <c r="X398" s="114"/>
      <c r="Y398" s="114"/>
      <c r="Z398" s="114"/>
      <c r="AA398" s="114"/>
      <c r="AB398" s="114"/>
      <c r="AC398" s="114"/>
      <c r="AD398" s="114"/>
      <c r="AE398" s="114"/>
      <c r="AF398" s="114"/>
      <c r="AG398" s="114"/>
    </row>
    <row r="399" spans="1:33" s="113" customFormat="1">
      <c r="A399" s="119"/>
      <c r="B399" s="122"/>
      <c r="C399" s="121"/>
      <c r="D399" s="121"/>
      <c r="E399" s="121"/>
      <c r="F399" s="121"/>
      <c r="G399" s="121"/>
      <c r="H399" s="121"/>
      <c r="I399" s="121"/>
      <c r="J399" s="121"/>
      <c r="K399" s="121"/>
      <c r="L399" s="121"/>
      <c r="M399" s="121"/>
      <c r="N399" s="121"/>
      <c r="O399" s="114"/>
      <c r="P399" s="114"/>
      <c r="Q399" s="114"/>
      <c r="S399" s="114"/>
      <c r="T399" s="114"/>
      <c r="U399" s="114"/>
      <c r="V399" s="114"/>
      <c r="W399" s="114"/>
      <c r="X399" s="114"/>
      <c r="Y399" s="114"/>
      <c r="Z399" s="114"/>
      <c r="AA399" s="114"/>
      <c r="AB399" s="114"/>
      <c r="AC399" s="114"/>
      <c r="AD399" s="114"/>
      <c r="AE399" s="114"/>
      <c r="AF399" s="114"/>
      <c r="AG399" s="114"/>
    </row>
    <row r="400" spans="1:33" s="113" customFormat="1">
      <c r="A400" s="119"/>
      <c r="B400" s="122"/>
      <c r="C400" s="121"/>
      <c r="D400" s="121"/>
      <c r="E400" s="121"/>
      <c r="F400" s="121"/>
      <c r="G400" s="121"/>
      <c r="H400" s="121"/>
      <c r="I400" s="121"/>
      <c r="J400" s="121"/>
      <c r="K400" s="121"/>
      <c r="L400" s="121"/>
      <c r="M400" s="121"/>
      <c r="N400" s="121"/>
      <c r="O400" s="114"/>
      <c r="P400" s="114"/>
      <c r="Q400" s="114"/>
      <c r="S400" s="114"/>
      <c r="T400" s="114"/>
      <c r="U400" s="114"/>
      <c r="V400" s="114"/>
      <c r="W400" s="114"/>
      <c r="X400" s="114"/>
      <c r="Y400" s="114"/>
      <c r="Z400" s="114"/>
      <c r="AA400" s="114"/>
      <c r="AB400" s="114"/>
      <c r="AC400" s="114"/>
      <c r="AD400" s="114"/>
      <c r="AE400" s="114"/>
      <c r="AF400" s="114"/>
      <c r="AG400" s="114"/>
    </row>
    <row r="401" spans="1:33" s="113" customFormat="1">
      <c r="A401" s="119"/>
      <c r="B401" s="122"/>
      <c r="C401" s="121"/>
      <c r="D401" s="121"/>
      <c r="E401" s="121"/>
      <c r="F401" s="121"/>
      <c r="G401" s="121"/>
      <c r="H401" s="121"/>
      <c r="I401" s="121"/>
      <c r="J401" s="121"/>
      <c r="K401" s="121"/>
      <c r="L401" s="121"/>
      <c r="M401" s="121"/>
      <c r="N401" s="121"/>
      <c r="O401" s="114"/>
      <c r="P401" s="114"/>
      <c r="Q401" s="114"/>
      <c r="S401" s="114"/>
      <c r="T401" s="114"/>
      <c r="U401" s="114"/>
      <c r="V401" s="114"/>
      <c r="W401" s="114"/>
      <c r="X401" s="114"/>
      <c r="Y401" s="114"/>
      <c r="Z401" s="114"/>
      <c r="AA401" s="114"/>
      <c r="AB401" s="114"/>
      <c r="AC401" s="114"/>
      <c r="AD401" s="114"/>
      <c r="AE401" s="114"/>
      <c r="AF401" s="114"/>
      <c r="AG401" s="114"/>
    </row>
    <row r="402" spans="1:33" s="113" customFormat="1">
      <c r="A402" s="119"/>
      <c r="B402" s="122"/>
      <c r="C402" s="121"/>
      <c r="D402" s="121"/>
      <c r="E402" s="121"/>
      <c r="F402" s="121"/>
      <c r="G402" s="121"/>
      <c r="H402" s="121"/>
      <c r="I402" s="121"/>
      <c r="J402" s="121"/>
      <c r="K402" s="121"/>
      <c r="L402" s="121"/>
      <c r="M402" s="121"/>
      <c r="N402" s="121"/>
      <c r="O402" s="114"/>
      <c r="P402" s="114"/>
      <c r="Q402" s="114"/>
      <c r="S402" s="114"/>
      <c r="T402" s="114"/>
      <c r="U402" s="114"/>
      <c r="V402" s="114"/>
      <c r="W402" s="114"/>
      <c r="X402" s="114"/>
      <c r="Y402" s="114"/>
      <c r="Z402" s="114"/>
      <c r="AA402" s="114"/>
      <c r="AB402" s="114"/>
      <c r="AC402" s="114"/>
      <c r="AD402" s="114"/>
      <c r="AE402" s="114"/>
      <c r="AF402" s="114"/>
      <c r="AG402" s="114"/>
    </row>
    <row r="403" spans="1:33" s="113" customFormat="1">
      <c r="A403" s="119"/>
      <c r="B403" s="122"/>
      <c r="C403" s="121"/>
      <c r="D403" s="121"/>
      <c r="E403" s="121"/>
      <c r="F403" s="121"/>
      <c r="G403" s="121"/>
      <c r="H403" s="121"/>
      <c r="I403" s="121"/>
      <c r="J403" s="121"/>
      <c r="K403" s="121"/>
      <c r="L403" s="121"/>
      <c r="M403" s="121"/>
      <c r="N403" s="121"/>
      <c r="O403" s="114"/>
      <c r="P403" s="114"/>
      <c r="Q403" s="114"/>
      <c r="S403" s="114"/>
      <c r="T403" s="114"/>
      <c r="U403" s="114"/>
      <c r="V403" s="114"/>
      <c r="W403" s="114"/>
      <c r="X403" s="114"/>
      <c r="Y403" s="114"/>
      <c r="Z403" s="114"/>
      <c r="AA403" s="114"/>
      <c r="AB403" s="114"/>
      <c r="AC403" s="114"/>
      <c r="AD403" s="114"/>
      <c r="AE403" s="114"/>
      <c r="AF403" s="114"/>
      <c r="AG403" s="114"/>
    </row>
    <row r="404" spans="1:33"/>
    <row r="405" spans="1:33"/>
    <row r="406" spans="1:33"/>
    <row r="407" spans="1:33"/>
    <row r="408" spans="1:33"/>
    <row r="409" spans="1:33"/>
    <row r="410" spans="1:33"/>
    <row r="411" spans="1:33"/>
    <row r="412" spans="1:33"/>
    <row r="413" spans="1:33"/>
    <row r="414" spans="1:33"/>
    <row r="415" spans="1:33"/>
    <row r="416" spans="1:33"/>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sheetData>
  <sheetProtection password="CF42" sheet="1" objects="1" scenarios="1" selectLockedCells="1"/>
  <mergeCells count="18">
    <mergeCell ref="K2:N2"/>
    <mergeCell ref="K3:N3"/>
    <mergeCell ref="C113:N113"/>
    <mergeCell ref="C114:N114"/>
    <mergeCell ref="C115:N115"/>
    <mergeCell ref="B126:J126"/>
    <mergeCell ref="B6:O6"/>
    <mergeCell ref="E23:J23"/>
    <mergeCell ref="E24:J24"/>
    <mergeCell ref="H10:K10"/>
    <mergeCell ref="E17:J17"/>
    <mergeCell ref="E18:J18"/>
    <mergeCell ref="E19:J19"/>
    <mergeCell ref="E20:J20"/>
    <mergeCell ref="E21:J21"/>
    <mergeCell ref="E22:J22"/>
    <mergeCell ref="B7:O7"/>
    <mergeCell ref="B8:O8"/>
  </mergeCells>
  <phoneticPr fontId="0" type="noConversion"/>
  <dataValidations count="1">
    <dataValidation type="whole" allowBlank="1" showInputMessage="1" showErrorMessage="1" sqref="G46:G53" xr:uid="{00000000-0002-0000-0000-000000000000}">
      <formula1>0</formula1>
      <formula2>1</formula2>
    </dataValidation>
  </dataValidations>
  <hyperlinks>
    <hyperlink ref="B26" r:id="rId1" xr:uid="{00000000-0004-0000-0000-000000000000}"/>
    <hyperlink ref="B10" r:id="rId2" display="mailto:surveys@mackayresearchgroup.com" xr:uid="{00000000-0004-0000-0000-000001000000}"/>
    <hyperlink ref="H10" r:id="rId3" xr:uid="{00000000-0004-0000-0000-000002000000}"/>
  </hyperlinks>
  <pageMargins left="0.25" right="0.25" top="0.25" bottom="0.25" header="0.05" footer="0.05"/>
  <pageSetup orientation="portrait" r:id="rId4"/>
  <headerFooter alignWithMargins="0"/>
  <rowBreaks count="2" manualBreakCount="2">
    <brk id="163" max="14" man="1"/>
    <brk id="217" max="14"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5"/>
  <sheetViews>
    <sheetView workbookViewId="0">
      <selection activeCell="B1" sqref="B1"/>
    </sheetView>
  </sheetViews>
  <sheetFormatPr defaultRowHeight="13.2"/>
  <cols>
    <col min="1" max="1" width="12.6640625" customWidth="1"/>
    <col min="2" max="2" width="15.6640625" customWidth="1"/>
    <col min="4" max="11" width="0" hidden="1" customWidth="1"/>
    <col min="12" max="12" width="13.77734375" bestFit="1" customWidth="1"/>
  </cols>
  <sheetData>
    <row r="1" spans="1:19" ht="13.8">
      <c r="A1" s="1" t="s">
        <v>132</v>
      </c>
      <c r="B1" s="34">
        <v>2022</v>
      </c>
      <c r="C1" s="86" t="s">
        <v>0</v>
      </c>
      <c r="D1" s="86" t="s">
        <v>134</v>
      </c>
      <c r="E1" s="86" t="s">
        <v>135</v>
      </c>
      <c r="F1" s="86" t="s">
        <v>143</v>
      </c>
      <c r="G1" s="86" t="s">
        <v>144</v>
      </c>
      <c r="H1" s="86" t="s">
        <v>136</v>
      </c>
      <c r="I1" s="86" t="s">
        <v>145</v>
      </c>
      <c r="J1" s="86" t="s">
        <v>146</v>
      </c>
      <c r="K1" s="86" t="s">
        <v>147</v>
      </c>
      <c r="L1" s="86" t="s">
        <v>148</v>
      </c>
      <c r="M1" s="86" t="s">
        <v>149</v>
      </c>
      <c r="N1" s="86" t="s">
        <v>137</v>
      </c>
      <c r="O1" s="86" t="s">
        <v>138</v>
      </c>
      <c r="P1" s="86" t="s">
        <v>139</v>
      </c>
      <c r="Q1" s="86" t="s">
        <v>140</v>
      </c>
      <c r="R1" s="85" t="s">
        <v>141</v>
      </c>
      <c r="S1" s="86" t="s">
        <v>142</v>
      </c>
    </row>
    <row r="2" spans="1:19">
      <c r="A2" s="1" t="s">
        <v>133</v>
      </c>
      <c r="B2">
        <f>ID</f>
        <v>0</v>
      </c>
      <c r="C2" s="1" t="str">
        <f>IF(ISBLANK(Company),"b",Company)</f>
        <v>b</v>
      </c>
      <c r="L2" s="1" t="str">
        <f>IF(ISBLANK(NAME),"b",NAME)</f>
        <v>b</v>
      </c>
      <c r="M2" s="1" t="str">
        <f>IF(ISBLANK(EMAIL),"b",EMAIL)</f>
        <v>b</v>
      </c>
      <c r="N2" s="1" t="str">
        <f>IF(ISBLANK(ADDR1),"b",ADDR1)</f>
        <v>b</v>
      </c>
      <c r="O2" s="1" t="s">
        <v>150</v>
      </c>
      <c r="P2" s="1" t="str">
        <f>IF(ISBLANK(City),"b",City)</f>
        <v>b</v>
      </c>
      <c r="Q2" s="1" t="str">
        <f>IF(ISBLANK(State),"b",State)</f>
        <v>b</v>
      </c>
      <c r="R2" s="95" t="str">
        <f>IF(ISBLANK(ZipCode),"b",ZipCode)</f>
        <v>b</v>
      </c>
      <c r="S2" s="1" t="s">
        <v>150</v>
      </c>
    </row>
    <row r="3" spans="1:19">
      <c r="A3" s="1" t="s">
        <v>151</v>
      </c>
      <c r="B3" s="95" t="str">
        <f>IF(ISBLANK(ZipCode),"b",ZipCode)</f>
        <v>b</v>
      </c>
    </row>
    <row r="4" spans="1:19">
      <c r="A4" s="34" t="s">
        <v>158</v>
      </c>
      <c r="B4" s="95"/>
    </row>
    <row r="5" spans="1:19">
      <c r="A5" s="1" t="s">
        <v>152</v>
      </c>
      <c r="B5" s="96" t="str">
        <f>IF(ISBLANK(TYPE),"b",TYPE)</f>
        <v>b</v>
      </c>
    </row>
    <row r="6" spans="1:19">
      <c r="A6" s="1" t="s">
        <v>348</v>
      </c>
      <c r="B6" s="96">
        <f>IF(ISBLANK(ORG),1,ORG)</f>
        <v>1</v>
      </c>
    </row>
    <row r="7" spans="1:19">
      <c r="A7" s="1" t="s">
        <v>309</v>
      </c>
      <c r="B7" s="96" t="str">
        <f>IF(ISBLANK(REGION),"b",REGION)</f>
        <v>b</v>
      </c>
    </row>
    <row r="8" spans="1:19">
      <c r="A8" s="1" t="s">
        <v>307</v>
      </c>
      <c r="B8" s="96" t="str">
        <f>IF(ISBLANK(LBS_RANGE),"b",LBS_RANGE)</f>
        <v>b</v>
      </c>
    </row>
    <row r="9" spans="1:19">
      <c r="A9" s="1" t="s">
        <v>154</v>
      </c>
      <c r="B9" s="96" t="str">
        <f>IF(ISBLANK(EMP),"b",EMP)</f>
        <v>b</v>
      </c>
    </row>
    <row r="10" spans="1:19">
      <c r="A10" s="1" t="s">
        <v>155</v>
      </c>
      <c r="B10" s="96" t="str">
        <f>IF(ISBLANK(CERT),"b",CERT)</f>
        <v>b</v>
      </c>
    </row>
    <row r="11" spans="1:19">
      <c r="A11" s="1" t="s">
        <v>156</v>
      </c>
      <c r="B11" s="96" t="str">
        <f>IF(ISBLANK(BULK),"b",BULK)</f>
        <v>b</v>
      </c>
    </row>
    <row r="12" spans="1:19">
      <c r="A12" s="1" t="s">
        <v>157</v>
      </c>
      <c r="B12" s="96" t="str">
        <f>IF(ISBLANK(DISTANCE),"b",DISTANCE)</f>
        <v>b</v>
      </c>
    </row>
    <row r="13" spans="1:19">
      <c r="A13" s="34" t="s">
        <v>159</v>
      </c>
    </row>
    <row r="14" spans="1:19">
      <c r="A14" s="1" t="s">
        <v>160</v>
      </c>
      <c r="B14" s="200" t="str">
        <f>IF(ISBLANK(GAL),"b",GAL)</f>
        <v>b</v>
      </c>
    </row>
    <row r="15" spans="1:19">
      <c r="A15" s="1" t="s">
        <v>161</v>
      </c>
      <c r="B15" s="96" t="str">
        <f>IF(ISBLANK(NATL_GAS),"b",NATL_GAS)</f>
        <v>b</v>
      </c>
    </row>
    <row r="16" spans="1:19">
      <c r="A16" s="1" t="s">
        <v>162</v>
      </c>
      <c r="B16" s="200" t="str">
        <f>IF(ISBLANK(ELEC),"b",ELEC)</f>
        <v>b</v>
      </c>
    </row>
    <row r="17" spans="1:12">
      <c r="A17" s="1" t="s">
        <v>163</v>
      </c>
      <c r="B17" s="96">
        <f>IF(ISBLANK(RECYCLE),0,RECYCLE)</f>
        <v>0</v>
      </c>
    </row>
    <row r="18" spans="1:12">
      <c r="A18" s="1" t="s">
        <v>164</v>
      </c>
      <c r="B18" s="200" t="str">
        <f>IF(ISBLANK(PPOH_TOTAL),"b",PPOH_TOTAL)</f>
        <v>b</v>
      </c>
    </row>
    <row r="19" spans="1:12">
      <c r="A19" s="1" t="s">
        <v>165</v>
      </c>
      <c r="B19" s="201" t="str">
        <f>IF(ISBLANK(PPOH_DIRECT),"b",PPOH_DIRECT)</f>
        <v>b</v>
      </c>
    </row>
    <row r="20" spans="1:12">
      <c r="A20" s="1" t="s">
        <v>175</v>
      </c>
      <c r="B20" s="94" t="str">
        <f>IF(ISBLANK(PRODN_LO),"b",IF(REGION=6,PRODN_LO*0.75,PRODN_LO))</f>
        <v>b</v>
      </c>
      <c r="L20" s="1"/>
    </row>
    <row r="21" spans="1:12">
      <c r="A21" s="1" t="s">
        <v>176</v>
      </c>
      <c r="B21" s="94" t="str">
        <f>IF(ISBLANK(PRODN_HI),"b",IF(REGION=6,PRODN_HI*0.76,PRODN_HI))</f>
        <v>b</v>
      </c>
      <c r="L21" s="1"/>
    </row>
    <row r="22" spans="1:12">
      <c r="A22" s="1" t="s">
        <v>177</v>
      </c>
      <c r="B22" s="94" t="str">
        <f>IF(ISBLANK(PRODN_AVG),"b",IF(REGION=6,PRODN_AVG*0.76,PRODN_AVG))</f>
        <v>b</v>
      </c>
      <c r="L22" s="1"/>
    </row>
    <row r="23" spans="1:12">
      <c r="A23" s="1" t="s">
        <v>178</v>
      </c>
      <c r="B23" s="94" t="str">
        <f>IF(ISBLANK(SUPR_LO),"b",IF(REGION=6,SUPR_LO*0.75,SUPR_LO))</f>
        <v>b</v>
      </c>
      <c r="L23" s="1"/>
    </row>
    <row r="24" spans="1:12">
      <c r="A24" s="1" t="s">
        <v>179</v>
      </c>
      <c r="B24" s="94" t="str">
        <f>IF(ISBLANK(SUPR_HI),"b",IF(REGION=6,SUPR_HI*0.76,SUPR_HI))</f>
        <v>b</v>
      </c>
      <c r="L24" s="1"/>
    </row>
    <row r="25" spans="1:12">
      <c r="A25" s="1" t="s">
        <v>180</v>
      </c>
      <c r="B25" s="94" t="str">
        <f>IF(ISBLANK(SUPR_AVG),"b",IF(REGION=6,SUPR_AVG*0.76,SUPR_AVG))</f>
        <v>b</v>
      </c>
      <c r="L25" s="1"/>
    </row>
    <row r="26" spans="1:12">
      <c r="A26" s="1" t="s">
        <v>181</v>
      </c>
      <c r="B26" s="94" t="str">
        <f>IF(ISBLANK(ENGR_LO),"b",IF(REGION=6,ENGR_LO*0.75,ENGR_LO))</f>
        <v>b</v>
      </c>
      <c r="L26" s="1"/>
    </row>
    <row r="27" spans="1:12">
      <c r="A27" s="1" t="s">
        <v>182</v>
      </c>
      <c r="B27" s="94" t="str">
        <f>IF(ISBLANK(ENGR_HI),"b",IF(REGION=6,ENGR_HI*0.76,ENGR_HI))</f>
        <v>b</v>
      </c>
      <c r="L27" s="1"/>
    </row>
    <row r="28" spans="1:12">
      <c r="A28" s="1" t="s">
        <v>183</v>
      </c>
      <c r="B28" s="94" t="str">
        <f>IF(ISBLANK(ENGR_AVG),"b",IF(REGION=6,ENGR_AVG*0.76,ENGR_AVG))</f>
        <v>b</v>
      </c>
      <c r="L28" s="1"/>
    </row>
    <row r="29" spans="1:12">
      <c r="A29" s="1" t="s">
        <v>184</v>
      </c>
      <c r="B29" s="94" t="str">
        <f>IF(ISBLANK(ROUTE_LO),"b",IF(REGION=6,ROUTE_LO*0.75,ROUTE_LO))</f>
        <v>b</v>
      </c>
      <c r="L29" s="1"/>
    </row>
    <row r="30" spans="1:12">
      <c r="A30" s="1" t="s">
        <v>185</v>
      </c>
      <c r="B30" s="94" t="str">
        <f>IF(ISBLANK(ROUTE_HI),"b",IF(REGION=6,ROUTE_HI*0.76,ROUTE_HI))</f>
        <v>b</v>
      </c>
      <c r="L30" s="1"/>
    </row>
    <row r="31" spans="1:12">
      <c r="A31" s="1" t="s">
        <v>186</v>
      </c>
      <c r="B31" s="94" t="str">
        <f>IF(ISBLANK(ROUTE_AVG),"b",IF(REGION=6,ROUTE_AVG*0.76,ROUTE_AVG))</f>
        <v>b</v>
      </c>
      <c r="L31" s="1"/>
    </row>
    <row r="32" spans="1:12">
      <c r="A32" s="1" t="s">
        <v>187</v>
      </c>
      <c r="B32" s="94" t="str">
        <f>IF(ISBLANK(ADMIN_LO),"b",IF(REGION=6,ADMIN_LO*0.75,ADMIN_LO))</f>
        <v>b</v>
      </c>
      <c r="L32" s="1"/>
    </row>
    <row r="33" spans="1:12">
      <c r="A33" s="1" t="s">
        <v>188</v>
      </c>
      <c r="B33" s="94" t="str">
        <f>IF(ISBLANK(ADMIN_HI),"b",IF(REGION=6,ADMIN_HI*0.76,ADMIN_HI))</f>
        <v>b</v>
      </c>
      <c r="L33" s="1"/>
    </row>
    <row r="34" spans="1:12">
      <c r="A34" s="1" t="s">
        <v>189</v>
      </c>
      <c r="B34" s="94" t="str">
        <f>IF(ISBLANK(ADMIN_AVG),"b",IF(REGION=6,ADMIN_AVG*0.76,ADMIN_AVG))</f>
        <v>b</v>
      </c>
      <c r="L34" s="1"/>
    </row>
    <row r="35" spans="1:12">
      <c r="A35" s="1" t="s">
        <v>446</v>
      </c>
      <c r="B35" s="94" t="str">
        <f>IF(ISBLANK(WAGE_2019),"b",WAGE_2019)</f>
        <v>b</v>
      </c>
      <c r="C35" s="1" t="s">
        <v>424</v>
      </c>
      <c r="L35" s="1"/>
    </row>
    <row r="36" spans="1:12">
      <c r="A36" s="1" t="s">
        <v>447</v>
      </c>
      <c r="B36" s="94" t="str">
        <f>IF(ISBLANK(WAGE_2020),"b",WAGE_2020)</f>
        <v>b</v>
      </c>
      <c r="C36" s="1"/>
      <c r="L36" s="1"/>
    </row>
    <row r="37" spans="1:12">
      <c r="A37" s="1" t="s">
        <v>448</v>
      </c>
      <c r="B37" s="94" t="str">
        <f>IF(ISBLANK(WAGE_2021),"b",WAGE_2021)</f>
        <v>b</v>
      </c>
      <c r="C37" s="1"/>
      <c r="L37" s="1"/>
    </row>
    <row r="38" spans="1:12">
      <c r="A38" s="1" t="s">
        <v>449</v>
      </c>
      <c r="B38" s="94" t="str">
        <f>IF(ISBLANK(WAGE_2022),"b",WAGE_2022)</f>
        <v>b</v>
      </c>
      <c r="C38" s="1"/>
      <c r="L38" s="1"/>
    </row>
    <row r="39" spans="1:12">
      <c r="A39" s="1" t="s">
        <v>450</v>
      </c>
      <c r="B39" s="94" t="str">
        <f>IF(ISBLANK(Q17_1),"b",Q17_1)</f>
        <v>b</v>
      </c>
      <c r="C39" s="1" t="s">
        <v>424</v>
      </c>
      <c r="L39" s="1"/>
    </row>
    <row r="40" spans="1:12">
      <c r="A40" s="1" t="s">
        <v>451</v>
      </c>
      <c r="B40" s="199" t="str">
        <f>IF(ISBLANK(Q17_2),"b",Q17_2)</f>
        <v>b</v>
      </c>
      <c r="C40" s="199"/>
      <c r="L40" s="1"/>
    </row>
    <row r="41" spans="1:12">
      <c r="A41" s="1" t="s">
        <v>452</v>
      </c>
      <c r="B41" s="199" t="str">
        <f>IF(ISBLANK(Q17_3),"b",Q17_3)</f>
        <v>b</v>
      </c>
      <c r="C41" s="199"/>
      <c r="L41" s="1"/>
    </row>
    <row r="42" spans="1:12">
      <c r="A42" s="34" t="s">
        <v>190</v>
      </c>
    </row>
    <row r="43" spans="1:12">
      <c r="A43" s="1" t="s">
        <v>191</v>
      </c>
      <c r="B43" s="96" t="s">
        <v>150</v>
      </c>
      <c r="C43" s="1" t="s">
        <v>428</v>
      </c>
    </row>
    <row r="44" spans="1:12">
      <c r="A44" s="1" t="s">
        <v>192</v>
      </c>
      <c r="B44" s="96" t="s">
        <v>150</v>
      </c>
      <c r="C44" s="1" t="s">
        <v>428</v>
      </c>
    </row>
    <row r="45" spans="1:12">
      <c r="A45" s="1" t="s">
        <v>193</v>
      </c>
      <c r="B45" s="96">
        <f>IF(ISBLANK(PPE),0,PPE)</f>
        <v>0</v>
      </c>
    </row>
    <row r="46" spans="1:12">
      <c r="A46" s="1" t="s">
        <v>194</v>
      </c>
      <c r="B46" s="96">
        <f>IF(ISBLANK(PLAN),0,PLAN)</f>
        <v>0</v>
      </c>
    </row>
    <row r="47" spans="1:12">
      <c r="A47" s="1" t="s">
        <v>195</v>
      </c>
      <c r="B47" s="96">
        <f>IF(ISBLANK(DIVERSIFY),0,DIVERSIFY)</f>
        <v>0</v>
      </c>
    </row>
    <row r="48" spans="1:12">
      <c r="A48" s="1" t="s">
        <v>438</v>
      </c>
      <c r="B48" s="96" t="str">
        <f>IF(ISBLANK(LINEN_LBS),"b",LINEN_LBS)</f>
        <v>b</v>
      </c>
      <c r="C48" s="1" t="s">
        <v>424</v>
      </c>
    </row>
    <row r="49" spans="1:2">
      <c r="A49" s="1" t="s">
        <v>196</v>
      </c>
      <c r="B49" s="96">
        <f>IF(ISBLANK(SER_OFF),0,SER_OFF)</f>
        <v>0</v>
      </c>
    </row>
    <row r="50" spans="1:2">
      <c r="A50" s="1" t="s">
        <v>197</v>
      </c>
      <c r="B50" s="96">
        <f>IF(ISBLANK(SER_EXC),0,SER_EXC)</f>
        <v>0</v>
      </c>
    </row>
    <row r="51" spans="1:2">
      <c r="A51" s="1" t="s">
        <v>198</v>
      </c>
      <c r="B51" s="96">
        <f>IF(ISBLANK(SER_BULK),0,SER_BULK)</f>
        <v>0</v>
      </c>
    </row>
    <row r="52" spans="1:2">
      <c r="A52" s="1" t="s">
        <v>199</v>
      </c>
      <c r="B52" s="96">
        <f>IF(ISBLANK(SER_RECYCLE),0,SER_RECYCLE)</f>
        <v>0</v>
      </c>
    </row>
    <row r="53" spans="1:2">
      <c r="A53" s="1" t="s">
        <v>200</v>
      </c>
      <c r="B53" s="96">
        <f>IF(ISBLANK(SER_SHRED),0,SER_SHRED)</f>
        <v>0</v>
      </c>
    </row>
    <row r="54" spans="1:2">
      <c r="A54" s="1" t="s">
        <v>201</v>
      </c>
      <c r="B54" s="96">
        <f>IF(ISBLANK(SER_RFID),0,SER_RFID)</f>
        <v>0</v>
      </c>
    </row>
    <row r="55" spans="1:2">
      <c r="A55" s="1" t="s">
        <v>202</v>
      </c>
      <c r="B55" s="96">
        <f>IF(ISBLANK(SER_UNI),0,SER_UNI)</f>
        <v>0</v>
      </c>
    </row>
    <row r="56" spans="1:2">
      <c r="A56" s="1" t="s">
        <v>203</v>
      </c>
      <c r="B56" s="96">
        <f>IF(ISBLANK(SER_LT),0,SER_LT)</f>
        <v>0</v>
      </c>
    </row>
    <row r="57" spans="1:2">
      <c r="A57" s="1" t="s">
        <v>204</v>
      </c>
      <c r="B57" s="96">
        <f>IF(ISBLANK(SER_RETAIL),0,SER_RETAIL)</f>
        <v>0</v>
      </c>
    </row>
    <row r="58" spans="1:2">
      <c r="A58" s="1" t="s">
        <v>205</v>
      </c>
      <c r="B58" s="96">
        <f>IF(ISBLANK(SER_DISP),0,SER_DISP)</f>
        <v>0</v>
      </c>
    </row>
    <row r="59" spans="1:2">
      <c r="A59" s="1" t="s">
        <v>206</v>
      </c>
      <c r="B59" s="96">
        <f>IF(ISBLANK(SER_HOME),0,SER_HOME)</f>
        <v>0</v>
      </c>
    </row>
    <row r="60" spans="1:2">
      <c r="A60" s="1" t="s">
        <v>207</v>
      </c>
      <c r="B60" s="96">
        <f>IF(ISBLANK(SER_HAZ),0,SER_HAZ)</f>
        <v>0</v>
      </c>
    </row>
    <row r="61" spans="1:2">
      <c r="A61" s="1" t="s">
        <v>208</v>
      </c>
      <c r="B61" s="96">
        <f>IF(ISBLANK(OP_PRODN),0,OP_PRODN)</f>
        <v>0</v>
      </c>
    </row>
    <row r="62" spans="1:2">
      <c r="A62" s="1" t="s">
        <v>209</v>
      </c>
      <c r="B62" s="96">
        <f>IF(ISBLANK(OP_STD),0,OP_STD)</f>
        <v>0</v>
      </c>
    </row>
    <row r="63" spans="1:2">
      <c r="A63" s="1" t="s">
        <v>210</v>
      </c>
      <c r="B63" s="96">
        <f>IF(ISBLANK(OP_ATTEND),0,OP_ATTEND)</f>
        <v>0</v>
      </c>
    </row>
    <row r="64" spans="1:2">
      <c r="A64" s="1" t="s">
        <v>211</v>
      </c>
      <c r="B64" s="96">
        <f>IF(ISBLANK(OP_SAFETY),0,OP_SAFETY)</f>
        <v>0</v>
      </c>
    </row>
    <row r="65" spans="1:2">
      <c r="A65" s="1" t="s">
        <v>212</v>
      </c>
      <c r="B65" s="96">
        <f>IF(ISBLANK(OP_SORT),0,OP_SORT)</f>
        <v>0</v>
      </c>
    </row>
    <row r="66" spans="1:2">
      <c r="A66" s="1" t="s">
        <v>213</v>
      </c>
      <c r="B66" s="96">
        <f>IF(ISBLANK(OP_BAG),0,OP_BAG)</f>
        <v>0</v>
      </c>
    </row>
    <row r="67" spans="1:2">
      <c r="A67" s="1" t="s">
        <v>215</v>
      </c>
      <c r="B67" s="96">
        <f>IF(ISBLANK(OP_RFIDsort),0,OP_RFIDsort)</f>
        <v>0</v>
      </c>
    </row>
    <row r="68" spans="1:2">
      <c r="A68" s="1" t="s">
        <v>214</v>
      </c>
      <c r="B68" s="96">
        <f>IF(ISBLANK(OP_TRACK),0,OP_TRACK)</f>
        <v>0</v>
      </c>
    </row>
    <row r="69" spans="1:2">
      <c r="A69" s="1" t="s">
        <v>216</v>
      </c>
      <c r="B69" s="96">
        <f>IF(ISBLANK(OP_VEH),0,OP_VEH)</f>
        <v>0</v>
      </c>
    </row>
    <row r="70" spans="1:2">
      <c r="A70" s="1" t="s">
        <v>217</v>
      </c>
      <c r="B70" s="96">
        <f>IF(ISBLANK(OP_EQUIP),0,OP_EQUIP)</f>
        <v>0</v>
      </c>
    </row>
    <row r="71" spans="1:2">
      <c r="A71" s="1" t="s">
        <v>218</v>
      </c>
      <c r="B71" s="96">
        <f>IF(ISBLANK(OP_AUTO),0,OP_AUTO)</f>
        <v>0</v>
      </c>
    </row>
    <row r="72" spans="1:2">
      <c r="A72" s="34" t="s">
        <v>219</v>
      </c>
    </row>
    <row r="73" spans="1:2">
      <c r="A73" s="84" t="s">
        <v>220</v>
      </c>
      <c r="B73" s="88" t="str">
        <f>IF(ISBLANK(NS),"b",NS)</f>
        <v>b</v>
      </c>
    </row>
    <row r="74" spans="1:2">
      <c r="A74" s="93" t="s">
        <v>249</v>
      </c>
      <c r="B74" s="88"/>
    </row>
    <row r="75" spans="1:2">
      <c r="A75" s="84" t="s">
        <v>224</v>
      </c>
      <c r="B75" s="91" t="str">
        <f>IF(ISBLANK(REV_LAUNDRY),"b",REV_LAUNDRY)</f>
        <v>b</v>
      </c>
    </row>
    <row r="76" spans="1:2">
      <c r="A76" s="84" t="s">
        <v>225</v>
      </c>
      <c r="B76" s="91" t="str">
        <f>IF(ISBLANK(REV_CHGS),"b",REV_CHGS)</f>
        <v>b</v>
      </c>
    </row>
    <row r="77" spans="1:2">
      <c r="A77" s="84" t="s">
        <v>226</v>
      </c>
      <c r="B77" s="91" t="str">
        <f>IF(ISBLANK(REV_DIRECT),"b",REV_DIRECT)</f>
        <v>b</v>
      </c>
    </row>
    <row r="78" spans="1:2">
      <c r="A78" s="84" t="s">
        <v>227</v>
      </c>
      <c r="B78" s="91" t="str">
        <f>IF(ISBLANK(REV_LABOR),"b",REV_LABOR)</f>
        <v>b</v>
      </c>
    </row>
    <row r="79" spans="1:2">
      <c r="A79" s="84" t="s">
        <v>228</v>
      </c>
      <c r="B79" s="91" t="str">
        <f>IF(ISBLANK(REV_PACKS),"b",REV_PACKS)</f>
        <v>b</v>
      </c>
    </row>
    <row r="80" spans="1:2">
      <c r="A80" s="84" t="s">
        <v>229</v>
      </c>
      <c r="B80" s="91" t="str">
        <f>IF(REV_OTH&lt;100,REV_OTH,"b")</f>
        <v>b</v>
      </c>
    </row>
    <row r="81" spans="1:3">
      <c r="A81" s="84" t="s">
        <v>230</v>
      </c>
      <c r="B81" s="144">
        <v>1</v>
      </c>
    </row>
    <row r="82" spans="1:3">
      <c r="A82" s="84" t="s">
        <v>437</v>
      </c>
      <c r="B82" s="91" t="str">
        <f>IF(ISBLANK(SURCHARGE),"b",SURCHARGE)</f>
        <v>b</v>
      </c>
      <c r="C82" s="1" t="s">
        <v>424</v>
      </c>
    </row>
    <row r="83" spans="1:3">
      <c r="A83" s="93" t="s">
        <v>248</v>
      </c>
      <c r="B83" s="88"/>
    </row>
    <row r="84" spans="1:3">
      <c r="A84" s="84" t="s">
        <v>231</v>
      </c>
      <c r="B84" s="91" t="str">
        <f>IF(ISBLANK(LAB_SORT),"b",LAB_SORT)</f>
        <v>b</v>
      </c>
    </row>
    <row r="85" spans="1:3">
      <c r="A85" s="84" t="s">
        <v>232</v>
      </c>
      <c r="B85" s="91" t="str">
        <f>IF(ISBLANK(LAB_WASH),"b",LAB_WASH)</f>
        <v>b</v>
      </c>
    </row>
    <row r="86" spans="1:3">
      <c r="A86" s="84" t="s">
        <v>233</v>
      </c>
      <c r="B86" s="91" t="str">
        <f>IF(ISBLANK(LAB_FLAT),"b",LAB_FLAT)</f>
        <v>b</v>
      </c>
    </row>
    <row r="87" spans="1:3">
      <c r="A87" s="84" t="s">
        <v>234</v>
      </c>
      <c r="B87" s="91" t="str">
        <f>IF(ISBLANK(LAB_DRY),"b",LAB_DRY)</f>
        <v>b</v>
      </c>
    </row>
    <row r="88" spans="1:3">
      <c r="A88" s="84" t="s">
        <v>235</v>
      </c>
      <c r="B88" s="91" t="str">
        <f>IF(ISBLANK(LAB_PACK),"b",LAB_PACK)</f>
        <v>b</v>
      </c>
    </row>
    <row r="89" spans="1:3">
      <c r="A89" s="84" t="s">
        <v>236</v>
      </c>
      <c r="B89" s="91" t="str">
        <f>IF(ISBLANK(LAB_SUR),"b",LAB_SUR)</f>
        <v>b</v>
      </c>
    </row>
    <row r="90" spans="1:3">
      <c r="A90" s="84" t="s">
        <v>237</v>
      </c>
      <c r="B90" s="91" t="str">
        <f>IF(ISBLANK(LAB_SUPR),"b",LAB_SUPR)</f>
        <v>b</v>
      </c>
    </row>
    <row r="91" spans="1:3">
      <c r="A91" s="84" t="s">
        <v>238</v>
      </c>
      <c r="B91" s="91" t="str">
        <f>IF(ISBLANK(LAB_ROUTE),"b",LAB_ROUTE)</f>
        <v>b</v>
      </c>
    </row>
    <row r="92" spans="1:3">
      <c r="A92" s="84" t="s">
        <v>239</v>
      </c>
      <c r="B92" s="91" t="str">
        <f>IF(ISBLANK(LAB_ENGR),"b",LAB_ENGR)</f>
        <v>b</v>
      </c>
    </row>
    <row r="93" spans="1:3">
      <c r="A93" s="84" t="s">
        <v>240</v>
      </c>
      <c r="B93" s="91" t="str">
        <f>IF(ISBLANK(LAB_JAN),"b",LAB_JAN)</f>
        <v>b</v>
      </c>
    </row>
    <row r="94" spans="1:3">
      <c r="A94" s="84" t="s">
        <v>241</v>
      </c>
      <c r="B94" s="91" t="str">
        <f>IF(ISBLANK(LAB_ADMIN),"b",LAB_ADMIN)</f>
        <v>b</v>
      </c>
    </row>
    <row r="95" spans="1:3">
      <c r="A95" s="84" t="s">
        <v>242</v>
      </c>
      <c r="B95" s="91" t="str">
        <f>IF(ISBLANK(LAB_SLS),"b",LAB_SLS)</f>
        <v>b</v>
      </c>
    </row>
    <row r="96" spans="1:3">
      <c r="A96" s="84" t="s">
        <v>400</v>
      </c>
      <c r="B96" s="91" t="str">
        <f>IF(ISBLANK(LAB_SORT),"b",TEMP_SORT)</f>
        <v>b</v>
      </c>
      <c r="C96" s="194" t="s">
        <v>424</v>
      </c>
    </row>
    <row r="97" spans="1:3">
      <c r="A97" s="84" t="s">
        <v>401</v>
      </c>
      <c r="B97" s="91" t="str">
        <f>IF(ISBLANK(LAB_WASH),"b",TEMP_WASH)</f>
        <v>b</v>
      </c>
      <c r="C97" s="195"/>
    </row>
    <row r="98" spans="1:3">
      <c r="A98" s="84" t="s">
        <v>402</v>
      </c>
      <c r="B98" s="91" t="str">
        <f>IF(ISBLANK(LAB_FLAT),"b",TEMP_FLAT)</f>
        <v>b</v>
      </c>
      <c r="C98" s="195"/>
    </row>
    <row r="99" spans="1:3">
      <c r="A99" s="84" t="s">
        <v>403</v>
      </c>
      <c r="B99" s="91" t="str">
        <f>IF(ISBLANK(LAB_DRY),"b",TEMP_DRY)</f>
        <v>b</v>
      </c>
      <c r="C99" s="195"/>
    </row>
    <row r="100" spans="1:3">
      <c r="A100" s="84" t="s">
        <v>404</v>
      </c>
      <c r="B100" s="91" t="str">
        <f>IF(ISBLANK(LAB_PACK),"b",TEMP_PACK)</f>
        <v>b</v>
      </c>
      <c r="C100" s="195"/>
    </row>
    <row r="101" spans="1:3">
      <c r="A101" s="84" t="s">
        <v>405</v>
      </c>
      <c r="B101" s="91" t="str">
        <f>IF(ISBLANK(LAB_SUR),"b",TEMP_SUR)</f>
        <v>b</v>
      </c>
      <c r="C101" s="195"/>
    </row>
    <row r="102" spans="1:3">
      <c r="A102" s="84" t="s">
        <v>406</v>
      </c>
      <c r="B102" s="91" t="str">
        <f>IF(ISBLANK(LAB_SUPR),"b",TEMP_SUPR)</f>
        <v>b</v>
      </c>
      <c r="C102" s="195"/>
    </row>
    <row r="103" spans="1:3">
      <c r="A103" s="84" t="s">
        <v>407</v>
      </c>
      <c r="B103" s="91" t="str">
        <f>IF(ISBLANK(LAB_ROUTE),"b",TEMP_ROUTE)</f>
        <v>b</v>
      </c>
      <c r="C103" s="195"/>
    </row>
    <row r="104" spans="1:3">
      <c r="A104" s="84" t="s">
        <v>408</v>
      </c>
      <c r="B104" s="91" t="str">
        <f>IF(ISBLANK(LAB_ENGR),"b",TEMP_ENGR)</f>
        <v>b</v>
      </c>
      <c r="C104" s="195"/>
    </row>
    <row r="105" spans="1:3">
      <c r="A105" s="84" t="s">
        <v>409</v>
      </c>
      <c r="B105" s="91" t="str">
        <f>IF(ISBLANK(LAB_JAN),"b",TEMP_JAN)</f>
        <v>b</v>
      </c>
      <c r="C105" s="195"/>
    </row>
    <row r="106" spans="1:3">
      <c r="A106" s="84" t="s">
        <v>410</v>
      </c>
      <c r="B106" s="91" t="str">
        <f>IF(ISBLANK(LAB_ADMIN),"b",TEMP_ADMIN)</f>
        <v>b</v>
      </c>
      <c r="C106" s="195"/>
    </row>
    <row r="107" spans="1:3">
      <c r="A107" s="84" t="s">
        <v>411</v>
      </c>
      <c r="B107" s="91" t="str">
        <f>IF(ISBLANK(LAB_SLS),"b",TEMP_SLS)</f>
        <v>b</v>
      </c>
      <c r="C107" s="195"/>
    </row>
    <row r="108" spans="1:3">
      <c r="A108" s="84" t="s">
        <v>412</v>
      </c>
      <c r="B108" s="144" t="str">
        <f>IF(ISBLANK(LAB_SORT),"b",TOT_SORT)</f>
        <v>b</v>
      </c>
      <c r="C108" s="195"/>
    </row>
    <row r="109" spans="1:3">
      <c r="A109" s="84" t="s">
        <v>413</v>
      </c>
      <c r="B109" s="144" t="str">
        <f>IF(ISBLANK(LAB_WASH),"b",TOT_WASH)</f>
        <v>b</v>
      </c>
      <c r="C109" s="195"/>
    </row>
    <row r="110" spans="1:3">
      <c r="A110" s="84" t="s">
        <v>414</v>
      </c>
      <c r="B110" s="144" t="str">
        <f>IF(ISBLANK(LAB_FLAT),"b",TOT_FLAT)</f>
        <v>b</v>
      </c>
      <c r="C110" s="195"/>
    </row>
    <row r="111" spans="1:3">
      <c r="A111" s="84" t="s">
        <v>415</v>
      </c>
      <c r="B111" s="144" t="str">
        <f>IF(ISBLANK(LAB_DRY),"b",TOT_DRY)</f>
        <v>b</v>
      </c>
      <c r="C111" s="195"/>
    </row>
    <row r="112" spans="1:3">
      <c r="A112" s="84" t="s">
        <v>416</v>
      </c>
      <c r="B112" s="144" t="str">
        <f>IF(ISBLANK(LAB_PACK),"b",TOT_PACK)</f>
        <v>b</v>
      </c>
      <c r="C112" s="195"/>
    </row>
    <row r="113" spans="1:3">
      <c r="A113" s="84" t="s">
        <v>417</v>
      </c>
      <c r="B113" s="144" t="str">
        <f>IF(ISBLANK(LAB_SUR),"b",TOT_SUR)</f>
        <v>b</v>
      </c>
      <c r="C113" s="195"/>
    </row>
    <row r="114" spans="1:3">
      <c r="A114" s="84" t="s">
        <v>418</v>
      </c>
      <c r="B114" s="144" t="str">
        <f>IF(ISBLANK(LAB_SUPR),"b",TOT_SUPR)</f>
        <v>b</v>
      </c>
      <c r="C114" s="195"/>
    </row>
    <row r="115" spans="1:3">
      <c r="A115" s="84" t="s">
        <v>419</v>
      </c>
      <c r="B115" s="144" t="str">
        <f>IF(ISBLANK(LAB_ROUTE),"b",TOT_ROUTE)</f>
        <v>b</v>
      </c>
      <c r="C115" s="195"/>
    </row>
    <row r="116" spans="1:3">
      <c r="A116" s="84" t="s">
        <v>420</v>
      </c>
      <c r="B116" s="144" t="str">
        <f>IF(ISBLANK(LAB_ENGR),"b",TOT_ENGR)</f>
        <v>b</v>
      </c>
      <c r="C116" s="195"/>
    </row>
    <row r="117" spans="1:3">
      <c r="A117" s="84" t="s">
        <v>421</v>
      </c>
      <c r="B117" s="144" t="str">
        <f>IF(ISBLANK(LAB_JAN),"b",TOT_JAN)</f>
        <v>b</v>
      </c>
      <c r="C117" s="195"/>
    </row>
    <row r="118" spans="1:3">
      <c r="A118" s="84" t="s">
        <v>422</v>
      </c>
      <c r="B118" s="144" t="str">
        <f>IF(ISBLANK(LAB_ADMIN),"b",TOT_ADMIN)</f>
        <v>b</v>
      </c>
      <c r="C118" s="195"/>
    </row>
    <row r="119" spans="1:3">
      <c r="A119" s="84" t="s">
        <v>423</v>
      </c>
      <c r="B119" s="144" t="str">
        <f>IF(ISBLANK(LAB_SLS),"b",TOT_SLS)</f>
        <v>b</v>
      </c>
      <c r="C119" s="195"/>
    </row>
    <row r="120" spans="1:3">
      <c r="A120" s="93" t="s">
        <v>250</v>
      </c>
      <c r="B120" s="88"/>
      <c r="C120" s="1" t="s">
        <v>425</v>
      </c>
    </row>
    <row r="121" spans="1:3">
      <c r="A121" s="84" t="s">
        <v>223</v>
      </c>
      <c r="B121" s="88" t="str">
        <f>IF(ISBLANK(PT),"b",PT)</f>
        <v>b</v>
      </c>
    </row>
    <row r="122" spans="1:3">
      <c r="A122" s="84" t="s">
        <v>243</v>
      </c>
      <c r="B122" s="91" t="str">
        <f>IF(ISBLANK(BENE),"b",BENE)</f>
        <v>b</v>
      </c>
    </row>
    <row r="123" spans="1:3">
      <c r="A123" s="84" t="s">
        <v>246</v>
      </c>
      <c r="B123" s="142" t="str">
        <f>IF(ISBLANK(LINEN_REP),"b",IF(REGION=6,LINEN_REP*0.76,LINEN_REP))</f>
        <v>b</v>
      </c>
    </row>
    <row r="124" spans="1:3">
      <c r="A124" s="84" t="s">
        <v>442</v>
      </c>
      <c r="B124" s="91" t="str">
        <f>IF(ISBLANK(LINEN_CHG),"b",LINEN_CHG)</f>
        <v>b</v>
      </c>
      <c r="C124" s="1" t="s">
        <v>424</v>
      </c>
    </row>
    <row r="125" spans="1:3">
      <c r="A125" s="84" t="s">
        <v>245</v>
      </c>
      <c r="B125" s="91" t="str">
        <f>IF(ISBLANK(CAPEX),"b",CAPEX)</f>
        <v>b</v>
      </c>
    </row>
    <row r="126" spans="1:3">
      <c r="A126" s="84" t="s">
        <v>244</v>
      </c>
      <c r="B126" s="202" t="str">
        <f>IF(ISBLANK(RM),"b",IF(REGION=6,RM*0.76,RM))</f>
        <v>b</v>
      </c>
    </row>
    <row r="127" spans="1:3">
      <c r="A127" s="97" t="s">
        <v>251</v>
      </c>
      <c r="B127" s="91" t="str">
        <f>IF(ISBLANK(PREV),"b",PREV)</f>
        <v>b</v>
      </c>
    </row>
    <row r="128" spans="1:3">
      <c r="A128" s="84" t="s">
        <v>222</v>
      </c>
      <c r="B128" s="91" t="str">
        <f>IF(ISBLANK(SLS),"b",SLS)</f>
        <v>b</v>
      </c>
    </row>
    <row r="129" spans="1:2">
      <c r="A129" s="1" t="s">
        <v>153</v>
      </c>
      <c r="B129" s="150" t="str">
        <f>IF(ISBLANK(SOIL_CLEAN),"b",SOIL_CLEAN)</f>
        <v>b</v>
      </c>
    </row>
    <row r="130" spans="1:2">
      <c r="A130" s="27" t="s">
        <v>77</v>
      </c>
      <c r="B130" s="150"/>
    </row>
    <row r="131" spans="1:2">
      <c r="A131" s="84" t="s">
        <v>81</v>
      </c>
      <c r="B131" s="91" t="str">
        <f>IF(ISBLANK(MPG),"b",MPG)</f>
        <v>b</v>
      </c>
    </row>
    <row r="132" spans="1:2">
      <c r="A132" s="84" t="s">
        <v>247</v>
      </c>
      <c r="B132" s="91" t="str">
        <f>IF(ISBLANK(PER_MILE),"b",IF(REGION=6,PER_MILE*0.76,PER_MILE))</f>
        <v>b</v>
      </c>
    </row>
    <row r="133" spans="1:2">
      <c r="A133" s="84" t="s">
        <v>221</v>
      </c>
      <c r="B133" s="91" t="str">
        <f>IF(ISBLANK(DEL),"b",DEL)</f>
        <v>b</v>
      </c>
    </row>
    <row r="134" spans="1:2">
      <c r="A134" s="92" t="s">
        <v>22</v>
      </c>
      <c r="B134" s="89"/>
    </row>
    <row r="135" spans="1:2">
      <c r="A135" s="84" t="s">
        <v>265</v>
      </c>
      <c r="B135" s="88" t="str">
        <f>IF(ISBLANK(AGREEABLE),"b",AGREEABLE)</f>
        <v>b</v>
      </c>
    </row>
    <row r="136" spans="1:2">
      <c r="A136" s="84" t="s">
        <v>266</v>
      </c>
      <c r="B136" s="88" t="str">
        <f>IF(ISBLANK(STAFFING),"b",STAFFING)</f>
        <v>b</v>
      </c>
    </row>
    <row r="137" spans="1:2">
      <c r="A137" s="84" t="s">
        <v>267</v>
      </c>
      <c r="B137" s="88" t="str">
        <f>IF(ISBLANK(BETTER),"b",BETTER)</f>
        <v>b</v>
      </c>
    </row>
    <row r="138" spans="1:2">
      <c r="A138" s="84" t="s">
        <v>268</v>
      </c>
      <c r="B138" s="88" t="str">
        <f>IF(ISBLANK(ENHANCE),"b",ENHANCE)</f>
        <v>b</v>
      </c>
    </row>
    <row r="139" spans="1:2">
      <c r="A139" s="84" t="s">
        <v>305</v>
      </c>
      <c r="B139" s="88" t="str">
        <f>IF(ISBLANK(RFID),"b",RFID)</f>
        <v>b</v>
      </c>
    </row>
    <row r="140" spans="1:2">
      <c r="A140" s="84" t="s">
        <v>269</v>
      </c>
      <c r="B140" s="96">
        <f>IF(ISBLANK(Safe_Audit),0,Safe_Audit)</f>
        <v>0</v>
      </c>
    </row>
    <row r="141" spans="1:2">
      <c r="A141" s="84" t="s">
        <v>270</v>
      </c>
      <c r="B141" s="96">
        <f>IF(ISBLANK(Safe_Drill),0,Safe_Drill)</f>
        <v>0</v>
      </c>
    </row>
    <row r="142" spans="1:2">
      <c r="A142" s="84" t="s">
        <v>271</v>
      </c>
      <c r="B142" s="96">
        <f>IF(ISBLANK(Safe_Mtg),0,Safe_Mtg)</f>
        <v>0</v>
      </c>
    </row>
    <row r="143" spans="1:2">
      <c r="A143" s="84" t="s">
        <v>272</v>
      </c>
      <c r="B143" s="96">
        <f>IF(ISBLANK(Safe_Train),0,Safe_Train)</f>
        <v>0</v>
      </c>
    </row>
    <row r="144" spans="1:2">
      <c r="A144" s="84" t="s">
        <v>273</v>
      </c>
      <c r="B144" s="96">
        <f>IF(ISBLANK(Safe_Award),0,Safe_Award)</f>
        <v>0</v>
      </c>
    </row>
    <row r="145" spans="1:2">
      <c r="A145" s="84" t="s">
        <v>396</v>
      </c>
      <c r="B145" s="96">
        <f>IF(ISBLANK(Safe_Game),0,Safe_Game)</f>
        <v>0</v>
      </c>
    </row>
    <row r="146" spans="1:2">
      <c r="A146" s="84" t="s">
        <v>274</v>
      </c>
      <c r="B146" s="96">
        <f>IF(ISBLANK(Safe_Bonus),0,Safe_Bonus)</f>
        <v>0</v>
      </c>
    </row>
    <row r="147" spans="1:2">
      <c r="A147" s="84" t="s">
        <v>275</v>
      </c>
      <c r="B147" s="96">
        <f>IF(ISBLANK(Safe_Visit),0,Safe_Visit)</f>
        <v>0</v>
      </c>
    </row>
    <row r="148" spans="1:2">
      <c r="A148" s="84" t="s">
        <v>276</v>
      </c>
      <c r="B148" s="96">
        <f>IF(ISBLANK(Safe_Expert),0,Safe_Expert)</f>
        <v>0</v>
      </c>
    </row>
    <row r="149" spans="1:2">
      <c r="A149" s="84" t="s">
        <v>277</v>
      </c>
      <c r="B149" s="96">
        <f>IF(ISBLANK(Safe_Equip),0,Safe_Equip)</f>
        <v>0</v>
      </c>
    </row>
    <row r="150" spans="1:2">
      <c r="A150" s="92" t="s">
        <v>23</v>
      </c>
    </row>
    <row r="151" spans="1:2">
      <c r="A151" s="84" t="s">
        <v>291</v>
      </c>
      <c r="B151" s="96" t="str">
        <f>IF(ISBLANK(INFECTION),"b",INFECTION)</f>
        <v>b</v>
      </c>
    </row>
    <row r="152" spans="1:2">
      <c r="A152" s="84" t="s">
        <v>292</v>
      </c>
      <c r="B152" s="96" t="str">
        <f>IF(ISBLANK(PPE_Demand),"b",PPE_Demand)</f>
        <v>b</v>
      </c>
    </row>
    <row r="153" spans="1:2">
      <c r="A153" s="84" t="s">
        <v>293</v>
      </c>
      <c r="B153" s="96">
        <f>IF(ISBLANK(ATP),0,ATP)</f>
        <v>0</v>
      </c>
    </row>
    <row r="154" spans="1:2">
      <c r="A154" s="84" t="s">
        <v>294</v>
      </c>
      <c r="B154" s="96">
        <f>IF(ISBLANK(INTEGRITY),0,INTEGRITY)</f>
        <v>0</v>
      </c>
    </row>
    <row r="155" spans="1:2">
      <c r="A155" s="84" t="s">
        <v>295</v>
      </c>
      <c r="B155" s="96">
        <f>IF(ISBLANK(INVEST),0,INVEST)</f>
        <v>0</v>
      </c>
    </row>
    <row r="156" spans="1:2">
      <c r="A156" s="84" t="s">
        <v>297</v>
      </c>
      <c r="B156" s="96">
        <f>IF(ISBLANK(ANTIMICRO),0,ANTIMICRO)</f>
        <v>0</v>
      </c>
    </row>
    <row r="157" spans="1:2">
      <c r="A157" s="84" t="s">
        <v>296</v>
      </c>
      <c r="B157" s="96">
        <f>IF(ISBLANK(OPTIMISTIC),0,OPTIMISTIC)</f>
        <v>0</v>
      </c>
    </row>
    <row r="158" spans="1:2">
      <c r="A158" s="84"/>
    </row>
    <row r="159" spans="1:2">
      <c r="A159" s="84"/>
    </row>
    <row r="160" spans="1:2">
      <c r="A160" s="84"/>
    </row>
    <row r="161" spans="1:1">
      <c r="A161" s="84"/>
    </row>
    <row r="162" spans="1:1">
      <c r="A162" s="93"/>
    </row>
    <row r="163" spans="1:1">
      <c r="A163" s="84"/>
    </row>
    <row r="164" spans="1:1">
      <c r="A164" s="84"/>
    </row>
    <row r="165" spans="1:1">
      <c r="A165" s="84"/>
    </row>
    <row r="166" spans="1:1">
      <c r="A166" s="93"/>
    </row>
    <row r="167" spans="1:1">
      <c r="A167" s="84"/>
    </row>
    <row r="168" spans="1:1">
      <c r="A168" s="84"/>
    </row>
    <row r="169" spans="1:1">
      <c r="A169" s="84"/>
    </row>
    <row r="170" spans="1:1">
      <c r="A170" s="84"/>
    </row>
    <row r="171" spans="1:1">
      <c r="A171" s="84"/>
    </row>
    <row r="172" spans="1:1">
      <c r="A172" s="84"/>
    </row>
    <row r="173" spans="1:1">
      <c r="A173" s="84"/>
    </row>
    <row r="174" spans="1:1">
      <c r="A174" s="93"/>
    </row>
    <row r="175" spans="1:1">
      <c r="A175" s="84"/>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153</vt:i4>
      </vt:variant>
    </vt:vector>
  </HeadingPairs>
  <TitlesOfParts>
    <vt:vector size="155" baseType="lpstr">
      <vt:lpstr>Healthcare Survey</vt:lpstr>
      <vt:lpstr>Data</vt:lpstr>
      <vt:lpstr>ADDR1</vt:lpstr>
      <vt:lpstr>ADMIN_AVG</vt:lpstr>
      <vt:lpstr>ADMIN_HI</vt:lpstr>
      <vt:lpstr>ADMIN_LO</vt:lpstr>
      <vt:lpstr>AGREEABLE</vt:lpstr>
      <vt:lpstr>ANTIMICRO</vt:lpstr>
      <vt:lpstr>ATP</vt:lpstr>
      <vt:lpstr>BENE</vt:lpstr>
      <vt:lpstr>BETTER</vt:lpstr>
      <vt:lpstr>BTU_ELEC</vt:lpstr>
      <vt:lpstr>BTU_GAS</vt:lpstr>
      <vt:lpstr>BULK</vt:lpstr>
      <vt:lpstr>CAPEX</vt:lpstr>
      <vt:lpstr>CERT</vt:lpstr>
      <vt:lpstr>City</vt:lpstr>
      <vt:lpstr>Company</vt:lpstr>
      <vt:lpstr>DEL</vt:lpstr>
      <vt:lpstr>DISTANCE</vt:lpstr>
      <vt:lpstr>DIVERSIFY</vt:lpstr>
      <vt:lpstr>ELEC</vt:lpstr>
      <vt:lpstr>EMAIL</vt:lpstr>
      <vt:lpstr>EMP</vt:lpstr>
      <vt:lpstr>ENGR_AVG</vt:lpstr>
      <vt:lpstr>ENGR_HI</vt:lpstr>
      <vt:lpstr>ENGR_LO</vt:lpstr>
      <vt:lpstr>ENHANCE</vt:lpstr>
      <vt:lpstr>GAL</vt:lpstr>
      <vt:lpstr>ID</vt:lpstr>
      <vt:lpstr>INFECTION</vt:lpstr>
      <vt:lpstr>INTEGRITY</vt:lpstr>
      <vt:lpstr>INVEST</vt:lpstr>
      <vt:lpstr>LAB_ADMIN</vt:lpstr>
      <vt:lpstr>LAB_DRY</vt:lpstr>
      <vt:lpstr>LAB_ENGR</vt:lpstr>
      <vt:lpstr>LAB_FLAT</vt:lpstr>
      <vt:lpstr>LAB_JAN</vt:lpstr>
      <vt:lpstr>LAB_PACK</vt:lpstr>
      <vt:lpstr>LAB_ROUTE</vt:lpstr>
      <vt:lpstr>LAB_SLS</vt:lpstr>
      <vt:lpstr>LAB_SORT</vt:lpstr>
      <vt:lpstr>LAB_SUPR</vt:lpstr>
      <vt:lpstr>LAB_SUR</vt:lpstr>
      <vt:lpstr>LAB_WASH</vt:lpstr>
      <vt:lpstr>LBS_RANGE</vt:lpstr>
      <vt:lpstr>LINEN_CHG</vt:lpstr>
      <vt:lpstr>LINEN_LBS</vt:lpstr>
      <vt:lpstr>LINEN_REP</vt:lpstr>
      <vt:lpstr>MPG</vt:lpstr>
      <vt:lpstr>NAME</vt:lpstr>
      <vt:lpstr>NATL_GAS</vt:lpstr>
      <vt:lpstr>NS</vt:lpstr>
      <vt:lpstr>OP_ATTEND</vt:lpstr>
      <vt:lpstr>OP_AUTO</vt:lpstr>
      <vt:lpstr>OP_BAG</vt:lpstr>
      <vt:lpstr>OP_EQUIP</vt:lpstr>
      <vt:lpstr>OP_PRODN</vt:lpstr>
      <vt:lpstr>OP_RFIDsort</vt:lpstr>
      <vt:lpstr>OP_SAFETY</vt:lpstr>
      <vt:lpstr>OP_SORT</vt:lpstr>
      <vt:lpstr>OP_STD</vt:lpstr>
      <vt:lpstr>OP_TRACK</vt:lpstr>
      <vt:lpstr>OP_VEH</vt:lpstr>
      <vt:lpstr>OPTIMISTIC</vt:lpstr>
      <vt:lpstr>ORG</vt:lpstr>
      <vt:lpstr>PER_MILE</vt:lpstr>
      <vt:lpstr>PLAN</vt:lpstr>
      <vt:lpstr>PPE</vt:lpstr>
      <vt:lpstr>PPE_Demand</vt:lpstr>
      <vt:lpstr>PPOH_DIRECT</vt:lpstr>
      <vt:lpstr>PPOH_TOTAL</vt:lpstr>
      <vt:lpstr>PREV</vt:lpstr>
      <vt:lpstr>'Healthcare Survey'!Print_Area</vt:lpstr>
      <vt:lpstr>PRODN_AVG</vt:lpstr>
      <vt:lpstr>PRODN_HI</vt:lpstr>
      <vt:lpstr>PRODN_LO</vt:lpstr>
      <vt:lpstr>PT</vt:lpstr>
      <vt:lpstr>Q17_1</vt:lpstr>
      <vt:lpstr>Q17_2</vt:lpstr>
      <vt:lpstr>Q17_3</vt:lpstr>
      <vt:lpstr>RECYCLE</vt:lpstr>
      <vt:lpstr>REGION</vt:lpstr>
      <vt:lpstr>REV_CHGS</vt:lpstr>
      <vt:lpstr>REV_DIRECT</vt:lpstr>
      <vt:lpstr>REV_LABOR</vt:lpstr>
      <vt:lpstr>REV_LAUNDRY</vt:lpstr>
      <vt:lpstr>REV_OTH</vt:lpstr>
      <vt:lpstr>REV_PACKS</vt:lpstr>
      <vt:lpstr>RFID</vt:lpstr>
      <vt:lpstr>RM</vt:lpstr>
      <vt:lpstr>ROUTE_AVG</vt:lpstr>
      <vt:lpstr>ROUTE_HI</vt:lpstr>
      <vt:lpstr>ROUTE_LO</vt:lpstr>
      <vt:lpstr>Safe_Audit</vt:lpstr>
      <vt:lpstr>Safe_Award</vt:lpstr>
      <vt:lpstr>Safe_Bonus</vt:lpstr>
      <vt:lpstr>Safe_Drill</vt:lpstr>
      <vt:lpstr>Safe_Equip</vt:lpstr>
      <vt:lpstr>Safe_Expert</vt:lpstr>
      <vt:lpstr>Safe_Game</vt:lpstr>
      <vt:lpstr>Safe_Mtg</vt:lpstr>
      <vt:lpstr>Safe_Train</vt:lpstr>
      <vt:lpstr>Safe_Visit</vt:lpstr>
      <vt:lpstr>SER_BULK</vt:lpstr>
      <vt:lpstr>SER_DISP</vt:lpstr>
      <vt:lpstr>SER_EXC</vt:lpstr>
      <vt:lpstr>SER_HAZ</vt:lpstr>
      <vt:lpstr>SER_HOME</vt:lpstr>
      <vt:lpstr>SER_LT</vt:lpstr>
      <vt:lpstr>SER_OFF</vt:lpstr>
      <vt:lpstr>SER_RECYCLE</vt:lpstr>
      <vt:lpstr>SER_RETAIL</vt:lpstr>
      <vt:lpstr>SER_RFID</vt:lpstr>
      <vt:lpstr>SER_SHRED</vt:lpstr>
      <vt:lpstr>SER_UNI</vt:lpstr>
      <vt:lpstr>SLS</vt:lpstr>
      <vt:lpstr>SOIL_CLEAN</vt:lpstr>
      <vt:lpstr>STAFFING</vt:lpstr>
      <vt:lpstr>State</vt:lpstr>
      <vt:lpstr>SUPR_AVG</vt:lpstr>
      <vt:lpstr>SUPR_HI</vt:lpstr>
      <vt:lpstr>SUPR_LO</vt:lpstr>
      <vt:lpstr>SURCHARGE</vt:lpstr>
      <vt:lpstr>TEMP_ADMIN</vt:lpstr>
      <vt:lpstr>TEMP_DRY</vt:lpstr>
      <vt:lpstr>TEMP_ENGR</vt:lpstr>
      <vt:lpstr>TEMP_FLAT</vt:lpstr>
      <vt:lpstr>TEMP_JAN</vt:lpstr>
      <vt:lpstr>TEMP_PACK</vt:lpstr>
      <vt:lpstr>TEMP_ROUTE</vt:lpstr>
      <vt:lpstr>TEMP_SLS</vt:lpstr>
      <vt:lpstr>TEMP_SORT</vt:lpstr>
      <vt:lpstr>TEMP_SUPR</vt:lpstr>
      <vt:lpstr>TEMP_SUR</vt:lpstr>
      <vt:lpstr>TEMP_WASH</vt:lpstr>
      <vt:lpstr>Title</vt:lpstr>
      <vt:lpstr>TOT_ADMIN</vt:lpstr>
      <vt:lpstr>TOT_DRY</vt:lpstr>
      <vt:lpstr>TOT_ENGR</vt:lpstr>
      <vt:lpstr>TOT_FLAT</vt:lpstr>
      <vt:lpstr>TOT_JAN</vt:lpstr>
      <vt:lpstr>TOT_PACK</vt:lpstr>
      <vt:lpstr>TOT_ROUTE</vt:lpstr>
      <vt:lpstr>TOT_SLS</vt:lpstr>
      <vt:lpstr>TOT_SORT</vt:lpstr>
      <vt:lpstr>TOT_SUPR</vt:lpstr>
      <vt:lpstr>TOT_SUR</vt:lpstr>
      <vt:lpstr>TOT_WASH</vt:lpstr>
      <vt:lpstr>TYPE</vt:lpstr>
      <vt:lpstr>WAGE_2019</vt:lpstr>
      <vt:lpstr>WAGE_2020</vt:lpstr>
      <vt:lpstr>WAGE_2021</vt:lpstr>
      <vt:lpstr>WAGE_2022</vt:lpstr>
      <vt:lpstr>ZipCode</vt:lpstr>
    </vt:vector>
  </TitlesOfParts>
  <Company>Bates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Mackay</dc:creator>
  <cp:lastModifiedBy>Susie Jackson</cp:lastModifiedBy>
  <cp:lastPrinted>2020-04-28T16:08:53Z</cp:lastPrinted>
  <dcterms:created xsi:type="dcterms:W3CDTF">2000-09-29T21:49:52Z</dcterms:created>
  <dcterms:modified xsi:type="dcterms:W3CDTF">2022-09-28T01:36:13Z</dcterms:modified>
</cp:coreProperties>
</file>